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tabRatio="795" activeTab="9"/>
  </bookViews>
  <sheets>
    <sheet name="สถานศึกษา" sheetId="1" r:id="rId1"/>
    <sheet name="บุคลากร" sheetId="2" r:id="rId2"/>
    <sheet name="ห้องเรียน" sheetId="9" r:id="rId3"/>
    <sheet name="จำนวน นร." sheetId="3" r:id="rId4"/>
    <sheet name="ครูต่อรร." sheetId="12" r:id="rId5"/>
    <sheet name="หร ต่อ ครู" sheetId="13" r:id="rId6"/>
    <sheet name="หร ต่อ รร" sheetId="14" r:id="rId7"/>
    <sheet name="นร ต่อ รร" sheetId="15" r:id="rId8"/>
    <sheet name="นร ต่อ หร" sheetId="16" r:id="rId9"/>
    <sheet name="นร ต่อ ครู" sheetId="17" r:id="rId10"/>
  </sheets>
  <calcPr calcId="145621"/>
</workbook>
</file>

<file path=xl/calcChain.xml><?xml version="1.0" encoding="utf-8"?>
<calcChain xmlns="http://schemas.openxmlformats.org/spreadsheetml/2006/main">
  <c r="C17" i="1" l="1"/>
  <c r="J17" i="17" l="1"/>
  <c r="H16" i="17"/>
  <c r="G16" i="17"/>
  <c r="F16" i="17"/>
  <c r="E16" i="17"/>
  <c r="D16" i="17"/>
  <c r="C16" i="17"/>
  <c r="H15" i="17"/>
  <c r="G15" i="17"/>
  <c r="F15" i="17"/>
  <c r="E15" i="17"/>
  <c r="D15" i="17"/>
  <c r="C15" i="17"/>
  <c r="H14" i="17"/>
  <c r="G14" i="17"/>
  <c r="F14" i="17"/>
  <c r="E14" i="17"/>
  <c r="D14" i="17"/>
  <c r="C14" i="17"/>
  <c r="H13" i="17"/>
  <c r="H17" i="17" s="1"/>
  <c r="G13" i="17"/>
  <c r="G17" i="17" s="1"/>
  <c r="F13" i="17"/>
  <c r="E13" i="17"/>
  <c r="E17" i="17" s="1"/>
  <c r="D13" i="17"/>
  <c r="D17" i="17" s="1"/>
  <c r="C13" i="17"/>
  <c r="C17" i="17" s="1"/>
  <c r="J11" i="17"/>
  <c r="H10" i="17"/>
  <c r="G10" i="17"/>
  <c r="F10" i="17"/>
  <c r="E10" i="17"/>
  <c r="D10" i="17"/>
  <c r="C10" i="17"/>
  <c r="I10" i="17" s="1"/>
  <c r="K10" i="17" s="1"/>
  <c r="H9" i="17"/>
  <c r="G9" i="17"/>
  <c r="F9" i="17"/>
  <c r="E9" i="17"/>
  <c r="D9" i="17"/>
  <c r="C9" i="17"/>
  <c r="H8" i="17"/>
  <c r="G8" i="17"/>
  <c r="F8" i="17"/>
  <c r="E8" i="17"/>
  <c r="D8" i="17"/>
  <c r="C8" i="17"/>
  <c r="I8" i="17" s="1"/>
  <c r="K8" i="17" s="1"/>
  <c r="H7" i="17"/>
  <c r="G7" i="17"/>
  <c r="F7" i="17"/>
  <c r="E7" i="17"/>
  <c r="D7" i="17"/>
  <c r="C7" i="17"/>
  <c r="H6" i="17"/>
  <c r="H11" i="17" s="1"/>
  <c r="G6" i="17"/>
  <c r="G11" i="17" s="1"/>
  <c r="F6" i="17"/>
  <c r="F11" i="17" s="1"/>
  <c r="E6" i="17"/>
  <c r="D6" i="17"/>
  <c r="D11" i="17" s="1"/>
  <c r="C6" i="17"/>
  <c r="C11" i="17" s="1"/>
  <c r="J17" i="16"/>
  <c r="J18" i="16" s="1"/>
  <c r="J11" i="16"/>
  <c r="H16" i="16"/>
  <c r="G16" i="16"/>
  <c r="F16" i="16"/>
  <c r="E16" i="16"/>
  <c r="D16" i="16"/>
  <c r="C16" i="16"/>
  <c r="H15" i="16"/>
  <c r="G15" i="16"/>
  <c r="F15" i="16"/>
  <c r="E15" i="16"/>
  <c r="D15" i="16"/>
  <c r="C15" i="16"/>
  <c r="H14" i="16"/>
  <c r="G14" i="16"/>
  <c r="F14" i="16"/>
  <c r="E14" i="16"/>
  <c r="D14" i="16"/>
  <c r="C14" i="16"/>
  <c r="H13" i="16"/>
  <c r="G13" i="16"/>
  <c r="G17" i="16" s="1"/>
  <c r="F13" i="16"/>
  <c r="F17" i="16" s="1"/>
  <c r="E13" i="16"/>
  <c r="E17" i="16" s="1"/>
  <c r="D13" i="16"/>
  <c r="C13" i="16"/>
  <c r="C17" i="16" s="1"/>
  <c r="H10" i="16"/>
  <c r="G10" i="16"/>
  <c r="F10" i="16"/>
  <c r="E10" i="16"/>
  <c r="D10" i="16"/>
  <c r="C10" i="16"/>
  <c r="H9" i="16"/>
  <c r="G9" i="16"/>
  <c r="F9" i="16"/>
  <c r="E9" i="16"/>
  <c r="D9" i="16"/>
  <c r="C9" i="16"/>
  <c r="H8" i="16"/>
  <c r="G8" i="16"/>
  <c r="F8" i="16"/>
  <c r="E8" i="16"/>
  <c r="D8" i="16"/>
  <c r="C8" i="16"/>
  <c r="H7" i="16"/>
  <c r="G7" i="16"/>
  <c r="F7" i="16"/>
  <c r="E7" i="16"/>
  <c r="D7" i="16"/>
  <c r="C7" i="16"/>
  <c r="H6" i="16"/>
  <c r="H11" i="16" s="1"/>
  <c r="G6" i="16"/>
  <c r="G11" i="16" s="1"/>
  <c r="F6" i="16"/>
  <c r="E6" i="16"/>
  <c r="E11" i="16" s="1"/>
  <c r="D6" i="16"/>
  <c r="D11" i="16" s="1"/>
  <c r="C6" i="16"/>
  <c r="C11" i="16" s="1"/>
  <c r="J17" i="15"/>
  <c r="J11" i="15"/>
  <c r="H16" i="15"/>
  <c r="G16" i="15"/>
  <c r="F16" i="15"/>
  <c r="E16" i="15"/>
  <c r="D16" i="15"/>
  <c r="C16" i="15"/>
  <c r="I16" i="15" s="1"/>
  <c r="K16" i="15" s="1"/>
  <c r="H15" i="15"/>
  <c r="G15" i="15"/>
  <c r="F15" i="15"/>
  <c r="E15" i="15"/>
  <c r="D15" i="15"/>
  <c r="C15" i="15"/>
  <c r="H14" i="15"/>
  <c r="G14" i="15"/>
  <c r="F14" i="15"/>
  <c r="E14" i="15"/>
  <c r="D14" i="15"/>
  <c r="C14" i="15"/>
  <c r="I14" i="15" s="1"/>
  <c r="K14" i="15" s="1"/>
  <c r="H13" i="15"/>
  <c r="H17" i="15" s="1"/>
  <c r="G13" i="15"/>
  <c r="F13" i="15"/>
  <c r="F17" i="15" s="1"/>
  <c r="E13" i="15"/>
  <c r="E17" i="15" s="1"/>
  <c r="D13" i="15"/>
  <c r="D17" i="15" s="1"/>
  <c r="C13" i="15"/>
  <c r="H10" i="15"/>
  <c r="G10" i="15"/>
  <c r="F10" i="15"/>
  <c r="E10" i="15"/>
  <c r="D10" i="15"/>
  <c r="C10" i="15"/>
  <c r="I10" i="15" s="1"/>
  <c r="K10" i="15" s="1"/>
  <c r="H9" i="15"/>
  <c r="G9" i="15"/>
  <c r="F9" i="15"/>
  <c r="E9" i="15"/>
  <c r="D9" i="15"/>
  <c r="C9" i="15"/>
  <c r="H8" i="15"/>
  <c r="G8" i="15"/>
  <c r="F8" i="15"/>
  <c r="E8" i="15"/>
  <c r="D8" i="15"/>
  <c r="C8" i="15"/>
  <c r="I8" i="15" s="1"/>
  <c r="K8" i="15" s="1"/>
  <c r="H7" i="15"/>
  <c r="G7" i="15"/>
  <c r="F7" i="15"/>
  <c r="E7" i="15"/>
  <c r="D7" i="15"/>
  <c r="C7" i="15"/>
  <c r="H6" i="15"/>
  <c r="G6" i="15"/>
  <c r="G11" i="15" s="1"/>
  <c r="F6" i="15"/>
  <c r="E6" i="15"/>
  <c r="D6" i="15"/>
  <c r="C6" i="15"/>
  <c r="C11" i="15" s="1"/>
  <c r="J18" i="14"/>
  <c r="J17" i="14"/>
  <c r="J11" i="14"/>
  <c r="H16" i="14"/>
  <c r="G16" i="14"/>
  <c r="F16" i="14"/>
  <c r="E16" i="14"/>
  <c r="D16" i="14"/>
  <c r="C16" i="14"/>
  <c r="H15" i="14"/>
  <c r="G15" i="14"/>
  <c r="F15" i="14"/>
  <c r="E15" i="14"/>
  <c r="D15" i="14"/>
  <c r="C15" i="14"/>
  <c r="H14" i="14"/>
  <c r="G14" i="14"/>
  <c r="F14" i="14"/>
  <c r="E14" i="14"/>
  <c r="D14" i="14"/>
  <c r="C14" i="14"/>
  <c r="H13" i="14"/>
  <c r="G13" i="14"/>
  <c r="G17" i="14" s="1"/>
  <c r="F13" i="14"/>
  <c r="F17" i="14" s="1"/>
  <c r="E13" i="14"/>
  <c r="E17" i="14" s="1"/>
  <c r="D13" i="14"/>
  <c r="C13" i="14"/>
  <c r="C17" i="14" s="1"/>
  <c r="H10" i="14"/>
  <c r="G10" i="14"/>
  <c r="F10" i="14"/>
  <c r="E10" i="14"/>
  <c r="D10" i="14"/>
  <c r="C10" i="14"/>
  <c r="H9" i="14"/>
  <c r="G9" i="14"/>
  <c r="F9" i="14"/>
  <c r="E9" i="14"/>
  <c r="D9" i="14"/>
  <c r="C9" i="14"/>
  <c r="H8" i="14"/>
  <c r="G8" i="14"/>
  <c r="F8" i="14"/>
  <c r="E8" i="14"/>
  <c r="D8" i="14"/>
  <c r="C8" i="14"/>
  <c r="H7" i="14"/>
  <c r="G7" i="14"/>
  <c r="F7" i="14"/>
  <c r="E7" i="14"/>
  <c r="D7" i="14"/>
  <c r="C7" i="14"/>
  <c r="H6" i="14"/>
  <c r="H11" i="14" s="1"/>
  <c r="G6" i="14"/>
  <c r="G11" i="14" s="1"/>
  <c r="F6" i="14"/>
  <c r="E6" i="14"/>
  <c r="E11" i="14" s="1"/>
  <c r="D6" i="14"/>
  <c r="D11" i="14" s="1"/>
  <c r="C6" i="14"/>
  <c r="C11" i="14" s="1"/>
  <c r="H16" i="13"/>
  <c r="G16" i="13"/>
  <c r="F16" i="13"/>
  <c r="E16" i="13"/>
  <c r="D16" i="13"/>
  <c r="C16" i="13"/>
  <c r="I16" i="13" s="1"/>
  <c r="K16" i="13" s="1"/>
  <c r="H15" i="13"/>
  <c r="G15" i="13"/>
  <c r="F15" i="13"/>
  <c r="E15" i="13"/>
  <c r="D15" i="13"/>
  <c r="C15" i="13"/>
  <c r="H14" i="13"/>
  <c r="G14" i="13"/>
  <c r="F14" i="13"/>
  <c r="E14" i="13"/>
  <c r="D14" i="13"/>
  <c r="C14" i="13"/>
  <c r="I14" i="13" s="1"/>
  <c r="K14" i="13" s="1"/>
  <c r="H13" i="13"/>
  <c r="H17" i="13" s="1"/>
  <c r="G13" i="13"/>
  <c r="F13" i="13"/>
  <c r="F17" i="13" s="1"/>
  <c r="E13" i="13"/>
  <c r="E17" i="13" s="1"/>
  <c r="D13" i="13"/>
  <c r="D17" i="13" s="1"/>
  <c r="C13" i="13"/>
  <c r="H10" i="13"/>
  <c r="G10" i="13"/>
  <c r="F10" i="13"/>
  <c r="E10" i="13"/>
  <c r="D10" i="13"/>
  <c r="C10" i="13"/>
  <c r="I10" i="13" s="1"/>
  <c r="K10" i="13" s="1"/>
  <c r="H9" i="13"/>
  <c r="G9" i="13"/>
  <c r="F9" i="13"/>
  <c r="E9" i="13"/>
  <c r="D9" i="13"/>
  <c r="C9" i="13"/>
  <c r="H8" i="13"/>
  <c r="G8" i="13"/>
  <c r="F8" i="13"/>
  <c r="E8" i="13"/>
  <c r="D8" i="13"/>
  <c r="C8" i="13"/>
  <c r="I8" i="13" s="1"/>
  <c r="K8" i="13" s="1"/>
  <c r="H7" i="13"/>
  <c r="G7" i="13"/>
  <c r="F7" i="13"/>
  <c r="E7" i="13"/>
  <c r="D7" i="13"/>
  <c r="C7" i="13"/>
  <c r="H6" i="13"/>
  <c r="G6" i="13"/>
  <c r="G11" i="13" s="1"/>
  <c r="F6" i="13"/>
  <c r="E6" i="13"/>
  <c r="D6" i="13"/>
  <c r="C6" i="13"/>
  <c r="C11" i="13" s="1"/>
  <c r="L13" i="12"/>
  <c r="L8" i="12"/>
  <c r="L10" i="12"/>
  <c r="L6" i="12"/>
  <c r="I17" i="12"/>
  <c r="H17" i="12"/>
  <c r="H18" i="12" s="1"/>
  <c r="G17" i="12"/>
  <c r="F17" i="12"/>
  <c r="F18" i="12" s="1"/>
  <c r="E17" i="12"/>
  <c r="D17" i="12"/>
  <c r="D18" i="12" s="1"/>
  <c r="C17" i="12"/>
  <c r="J16" i="12"/>
  <c r="L16" i="12" s="1"/>
  <c r="J15" i="12"/>
  <c r="L15" i="12" s="1"/>
  <c r="J14" i="12"/>
  <c r="L14" i="12" s="1"/>
  <c r="J13" i="12"/>
  <c r="I11" i="12"/>
  <c r="H11" i="12"/>
  <c r="G11" i="12"/>
  <c r="F11" i="12"/>
  <c r="E11" i="12"/>
  <c r="D11" i="12"/>
  <c r="C11" i="12"/>
  <c r="J10" i="12"/>
  <c r="J9" i="12"/>
  <c r="L9" i="12" s="1"/>
  <c r="J8" i="12"/>
  <c r="J7" i="12"/>
  <c r="L7" i="12" s="1"/>
  <c r="J6" i="12"/>
  <c r="G16" i="3"/>
  <c r="G15" i="3"/>
  <c r="G13" i="3"/>
  <c r="G10" i="3"/>
  <c r="G9" i="3"/>
  <c r="G8" i="3"/>
  <c r="F16" i="3"/>
  <c r="F15" i="3"/>
  <c r="F14" i="3"/>
  <c r="F13" i="3"/>
  <c r="F10" i="3"/>
  <c r="F9" i="3"/>
  <c r="F8" i="3"/>
  <c r="F7" i="3"/>
  <c r="F6" i="3"/>
  <c r="E16" i="3"/>
  <c r="E15" i="3"/>
  <c r="E14" i="3"/>
  <c r="E13" i="3"/>
  <c r="E10" i="3"/>
  <c r="E9" i="3"/>
  <c r="E8" i="3"/>
  <c r="E7" i="3"/>
  <c r="E6" i="3"/>
  <c r="D16" i="3"/>
  <c r="D15" i="3"/>
  <c r="D14" i="3"/>
  <c r="D13" i="3"/>
  <c r="D10" i="3"/>
  <c r="D9" i="3"/>
  <c r="D8" i="3"/>
  <c r="D7" i="3"/>
  <c r="D6" i="3"/>
  <c r="J17" i="12" l="1"/>
  <c r="G18" i="12"/>
  <c r="F11" i="13"/>
  <c r="I7" i="14"/>
  <c r="K7" i="14" s="1"/>
  <c r="I9" i="14"/>
  <c r="K9" i="14" s="1"/>
  <c r="I15" i="14"/>
  <c r="K15" i="14" s="1"/>
  <c r="F11" i="15"/>
  <c r="J18" i="15"/>
  <c r="I7" i="16"/>
  <c r="K7" i="16" s="1"/>
  <c r="I9" i="16"/>
  <c r="K9" i="16" s="1"/>
  <c r="I15" i="16"/>
  <c r="K15" i="16" s="1"/>
  <c r="I14" i="17"/>
  <c r="K14" i="17" s="1"/>
  <c r="I16" i="17"/>
  <c r="K16" i="17" s="1"/>
  <c r="J11" i="12"/>
  <c r="L11" i="12" s="1"/>
  <c r="E11" i="13"/>
  <c r="I7" i="13"/>
  <c r="K7" i="13" s="1"/>
  <c r="I9" i="13"/>
  <c r="K9" i="13" s="1"/>
  <c r="C17" i="13"/>
  <c r="G17" i="13"/>
  <c r="I15" i="13"/>
  <c r="K15" i="13" s="1"/>
  <c r="F11" i="14"/>
  <c r="D17" i="14"/>
  <c r="H17" i="14"/>
  <c r="E11" i="15"/>
  <c r="I7" i="15"/>
  <c r="K7" i="15" s="1"/>
  <c r="I9" i="15"/>
  <c r="K9" i="15" s="1"/>
  <c r="C17" i="15"/>
  <c r="G17" i="15"/>
  <c r="I15" i="15"/>
  <c r="K15" i="15" s="1"/>
  <c r="F11" i="16"/>
  <c r="D17" i="16"/>
  <c r="H17" i="16"/>
  <c r="E11" i="17"/>
  <c r="I11" i="17" s="1"/>
  <c r="K11" i="17" s="1"/>
  <c r="I7" i="17"/>
  <c r="K7" i="17" s="1"/>
  <c r="I9" i="17"/>
  <c r="K9" i="17" s="1"/>
  <c r="F17" i="17"/>
  <c r="E18" i="12"/>
  <c r="I18" i="12"/>
  <c r="D11" i="13"/>
  <c r="H11" i="13"/>
  <c r="I11" i="13" s="1"/>
  <c r="K11" i="13" s="1"/>
  <c r="I11" i="14"/>
  <c r="K11" i="14" s="1"/>
  <c r="I8" i="14"/>
  <c r="K8" i="14" s="1"/>
  <c r="I10" i="14"/>
  <c r="K10" i="14" s="1"/>
  <c r="I14" i="14"/>
  <c r="K14" i="14" s="1"/>
  <c r="I16" i="14"/>
  <c r="K16" i="14" s="1"/>
  <c r="D11" i="15"/>
  <c r="I11" i="15" s="1"/>
  <c r="K11" i="15" s="1"/>
  <c r="H11" i="15"/>
  <c r="I11" i="16"/>
  <c r="K11" i="16" s="1"/>
  <c r="I8" i="16"/>
  <c r="K8" i="16" s="1"/>
  <c r="I10" i="16"/>
  <c r="K10" i="16" s="1"/>
  <c r="I14" i="16"/>
  <c r="K14" i="16" s="1"/>
  <c r="I16" i="16"/>
  <c r="K16" i="16" s="1"/>
  <c r="I15" i="17"/>
  <c r="K15" i="17" s="1"/>
  <c r="J18" i="17"/>
  <c r="D18" i="17"/>
  <c r="F18" i="17"/>
  <c r="H18" i="17"/>
  <c r="C18" i="17"/>
  <c r="I17" i="17"/>
  <c r="E18" i="17"/>
  <c r="G18" i="17"/>
  <c r="I13" i="17"/>
  <c r="K13" i="17" s="1"/>
  <c r="I6" i="17"/>
  <c r="K6" i="17" s="1"/>
  <c r="D18" i="16"/>
  <c r="F18" i="16"/>
  <c r="H18" i="16"/>
  <c r="C18" i="16"/>
  <c r="I17" i="16"/>
  <c r="E18" i="16"/>
  <c r="G18" i="16"/>
  <c r="I13" i="16"/>
  <c r="K13" i="16" s="1"/>
  <c r="I6" i="16"/>
  <c r="K6" i="16" s="1"/>
  <c r="C18" i="15"/>
  <c r="I17" i="15"/>
  <c r="E18" i="15"/>
  <c r="G18" i="15"/>
  <c r="D18" i="15"/>
  <c r="F18" i="15"/>
  <c r="H18" i="15"/>
  <c r="I6" i="15"/>
  <c r="K6" i="15" s="1"/>
  <c r="I13" i="15"/>
  <c r="K13" i="15" s="1"/>
  <c r="C18" i="14"/>
  <c r="I17" i="14"/>
  <c r="E18" i="14"/>
  <c r="G18" i="14"/>
  <c r="D18" i="14"/>
  <c r="F18" i="14"/>
  <c r="H18" i="14"/>
  <c r="I6" i="14"/>
  <c r="K6" i="14" s="1"/>
  <c r="I13" i="14"/>
  <c r="K13" i="14" s="1"/>
  <c r="C18" i="13"/>
  <c r="I17" i="13"/>
  <c r="E18" i="13"/>
  <c r="G18" i="13"/>
  <c r="D18" i="13"/>
  <c r="F18" i="13"/>
  <c r="H18" i="13"/>
  <c r="I6" i="13"/>
  <c r="K6" i="13" s="1"/>
  <c r="I13" i="13"/>
  <c r="K13" i="13" s="1"/>
  <c r="C18" i="12"/>
  <c r="C14" i="3"/>
  <c r="C13" i="3"/>
  <c r="C8" i="3"/>
  <c r="C7" i="3"/>
  <c r="F7" i="9"/>
  <c r="F14" i="9"/>
  <c r="F15" i="9"/>
  <c r="E14" i="9"/>
  <c r="E10" i="9"/>
  <c r="E7" i="9"/>
  <c r="D14" i="9"/>
  <c r="D10" i="9"/>
  <c r="D7" i="9"/>
  <c r="C14" i="9"/>
  <c r="C13" i="9"/>
  <c r="C10" i="9"/>
  <c r="C8" i="9"/>
  <c r="C7" i="9"/>
  <c r="J18" i="12" l="1"/>
  <c r="L18" i="12" s="1"/>
  <c r="L17" i="12"/>
  <c r="I18" i="13"/>
  <c r="K18" i="13" s="1"/>
  <c r="K17" i="13"/>
  <c r="I18" i="14"/>
  <c r="K18" i="14" s="1"/>
  <c r="K17" i="14"/>
  <c r="I18" i="15"/>
  <c r="K18" i="15" s="1"/>
  <c r="K17" i="15"/>
  <c r="I18" i="17"/>
  <c r="K18" i="17" s="1"/>
  <c r="K17" i="17"/>
  <c r="I18" i="16"/>
  <c r="K18" i="16" s="1"/>
  <c r="K17" i="16"/>
  <c r="H16" i="3"/>
  <c r="H15" i="3"/>
  <c r="H14" i="3"/>
  <c r="H13" i="3"/>
  <c r="H10" i="3"/>
  <c r="H9" i="3"/>
  <c r="H8" i="3"/>
  <c r="H7" i="3"/>
  <c r="H6" i="3"/>
  <c r="G14" i="3"/>
  <c r="G7" i="3"/>
  <c r="G6" i="3"/>
  <c r="H8" i="9"/>
  <c r="G8" i="9"/>
  <c r="H16" i="9"/>
  <c r="H15" i="9"/>
  <c r="H14" i="9"/>
  <c r="H13" i="9"/>
  <c r="H10" i="9"/>
  <c r="H9" i="9"/>
  <c r="H7" i="9"/>
  <c r="H6" i="9"/>
  <c r="G16" i="9"/>
  <c r="G15" i="9"/>
  <c r="G14" i="9"/>
  <c r="G13" i="9"/>
  <c r="G10" i="9"/>
  <c r="G9" i="9"/>
  <c r="G7" i="9"/>
  <c r="G6" i="9"/>
  <c r="C15" i="3"/>
  <c r="C6" i="3"/>
  <c r="F8" i="9"/>
  <c r="F6" i="9"/>
  <c r="E15" i="9"/>
  <c r="E8" i="9"/>
  <c r="E6" i="9"/>
  <c r="D15" i="9"/>
  <c r="D8" i="9"/>
  <c r="D6" i="9"/>
  <c r="C15" i="9"/>
  <c r="C6" i="9"/>
  <c r="C16" i="3"/>
  <c r="C10" i="3"/>
  <c r="C9" i="3"/>
  <c r="F16" i="9"/>
  <c r="E16" i="9"/>
  <c r="D16" i="9"/>
  <c r="C16" i="9"/>
  <c r="E13" i="9"/>
  <c r="D13" i="9"/>
  <c r="F13" i="9"/>
  <c r="F10" i="9"/>
  <c r="E9" i="9"/>
  <c r="D9" i="9"/>
  <c r="C9" i="9"/>
  <c r="F9" i="9" l="1"/>
  <c r="H17" i="9" l="1"/>
  <c r="G17" i="9"/>
  <c r="F17" i="9"/>
  <c r="E17" i="9"/>
  <c r="D17" i="9"/>
  <c r="C17" i="9"/>
  <c r="I16" i="9"/>
  <c r="I15" i="9"/>
  <c r="I14" i="9"/>
  <c r="I13" i="9"/>
  <c r="H11" i="9"/>
  <c r="G11" i="9"/>
  <c r="F11" i="9"/>
  <c r="E11" i="9"/>
  <c r="D11" i="9"/>
  <c r="C11" i="9"/>
  <c r="I10" i="9"/>
  <c r="I9" i="9"/>
  <c r="I8" i="9"/>
  <c r="I7" i="9"/>
  <c r="I6" i="9"/>
  <c r="D18" i="9" l="1"/>
  <c r="H18" i="9"/>
  <c r="F18" i="9"/>
  <c r="G18" i="9"/>
  <c r="E18" i="9"/>
  <c r="I11" i="9"/>
  <c r="C18" i="9"/>
  <c r="I17" i="9"/>
  <c r="I13" i="3"/>
  <c r="I14" i="3"/>
  <c r="I15" i="3"/>
  <c r="I16" i="3"/>
  <c r="C17" i="3"/>
  <c r="D17" i="3"/>
  <c r="E17" i="3"/>
  <c r="F17" i="3"/>
  <c r="G17" i="3"/>
  <c r="H17" i="3"/>
  <c r="I6" i="3"/>
  <c r="I7" i="3"/>
  <c r="I8" i="3"/>
  <c r="I9" i="3"/>
  <c r="I10" i="3"/>
  <c r="C11" i="3"/>
  <c r="D11" i="3"/>
  <c r="E11" i="3"/>
  <c r="F11" i="3"/>
  <c r="G11" i="3"/>
  <c r="H11" i="3"/>
  <c r="I17" i="2"/>
  <c r="H17" i="2"/>
  <c r="G17" i="2"/>
  <c r="F17" i="2"/>
  <c r="E17" i="2"/>
  <c r="D17" i="2"/>
  <c r="C17" i="2"/>
  <c r="J16" i="2"/>
  <c r="J15" i="2"/>
  <c r="J14" i="2"/>
  <c r="J13" i="2"/>
  <c r="I11" i="2"/>
  <c r="H11" i="2"/>
  <c r="G11" i="2"/>
  <c r="F11" i="2"/>
  <c r="E11" i="2"/>
  <c r="D11" i="2"/>
  <c r="C11" i="2"/>
  <c r="J10" i="2"/>
  <c r="J9" i="2"/>
  <c r="J8" i="2"/>
  <c r="J7" i="2"/>
  <c r="J6" i="2"/>
  <c r="J13" i="1"/>
  <c r="J14" i="1"/>
  <c r="J15" i="1"/>
  <c r="J16" i="1"/>
  <c r="D17" i="1"/>
  <c r="E17" i="1"/>
  <c r="F17" i="1"/>
  <c r="G17" i="1"/>
  <c r="H17" i="1"/>
  <c r="I17" i="1"/>
  <c r="J6" i="1"/>
  <c r="J7" i="1"/>
  <c r="J8" i="1"/>
  <c r="J9" i="1"/>
  <c r="J10" i="1"/>
  <c r="C11" i="1"/>
  <c r="J11" i="1" s="1"/>
  <c r="D11" i="1"/>
  <c r="D18" i="1" s="1"/>
  <c r="E11" i="1"/>
  <c r="E18" i="1" s="1"/>
  <c r="F11" i="1"/>
  <c r="F18" i="1" s="1"/>
  <c r="G11" i="1"/>
  <c r="G18" i="1" s="1"/>
  <c r="H11" i="1"/>
  <c r="I11" i="1"/>
  <c r="I18" i="1" s="1"/>
  <c r="I18" i="2" l="1"/>
  <c r="H18" i="3"/>
  <c r="J11" i="2"/>
  <c r="H18" i="2"/>
  <c r="D18" i="2"/>
  <c r="F18" i="2"/>
  <c r="E18" i="2"/>
  <c r="G18" i="2"/>
  <c r="H18" i="1"/>
  <c r="J17" i="1"/>
  <c r="J18" i="1" s="1"/>
  <c r="G18" i="3"/>
  <c r="I18" i="9"/>
  <c r="J17" i="2"/>
  <c r="F18" i="3"/>
  <c r="E18" i="3"/>
  <c r="I17" i="3"/>
  <c r="D18" i="3"/>
  <c r="I11" i="3"/>
  <c r="C18" i="3"/>
  <c r="C18" i="1"/>
  <c r="C18" i="2"/>
  <c r="J18" i="2" l="1"/>
  <c r="I18" i="3"/>
</calcChain>
</file>

<file path=xl/sharedStrings.xml><?xml version="1.0" encoding="utf-8"?>
<sst xmlns="http://schemas.openxmlformats.org/spreadsheetml/2006/main" count="272" uniqueCount="54">
  <si>
    <t>ที่</t>
  </si>
  <si>
    <t>จังหวัด</t>
  </si>
  <si>
    <t>เขตตรวจราชการที่ 17</t>
  </si>
  <si>
    <t>ตาก</t>
  </si>
  <si>
    <t>พิษณุโลก</t>
  </si>
  <si>
    <t>เพชรบูรณ์</t>
  </si>
  <si>
    <t>สุโขทัย</t>
  </si>
  <si>
    <t>อุตรดิตถ์</t>
  </si>
  <si>
    <t>เขตตรวจราชการที่ 18</t>
  </si>
  <si>
    <t>กำแพงเพชร</t>
  </si>
  <si>
    <t>นครสวรรค์</t>
  </si>
  <si>
    <t>พิจิตร</t>
  </si>
  <si>
    <t>อุทัยธานี</t>
  </si>
  <si>
    <t>สพป.</t>
  </si>
  <si>
    <t>สพม.</t>
  </si>
  <si>
    <t>สช.</t>
  </si>
  <si>
    <t>กศ.พิเศษ</t>
  </si>
  <si>
    <t>สอศ.</t>
  </si>
  <si>
    <t>รร.สาธิต</t>
  </si>
  <si>
    <t>กศน.</t>
  </si>
  <si>
    <t>รวมทั้งหมด</t>
  </si>
  <si>
    <t>จำนวนสถานศึกษา</t>
  </si>
  <si>
    <t>รวมเขตตรวจราชการที่ 18</t>
  </si>
  <si>
    <t>รวมเขตตรวจราชการที 17 และ 18</t>
  </si>
  <si>
    <t>รวมเขตตรวจราชการที่ 17</t>
  </si>
  <si>
    <t>ก่อนประถม</t>
  </si>
  <si>
    <t>ประถมศึกษา</t>
  </si>
  <si>
    <t>มัธยมตอนตัน</t>
  </si>
  <si>
    <t>มัธยมตอนปลาย</t>
  </si>
  <si>
    <t>ปวช.</t>
  </si>
  <si>
    <t>ปวส.</t>
  </si>
  <si>
    <t>จำนวนนักเรียนนักศึกษา</t>
  </si>
  <si>
    <t>จำนวนบุคลากรทางการศึกษา</t>
  </si>
  <si>
    <t>อัตราส่วน</t>
  </si>
  <si>
    <t>ครู : รร</t>
  </si>
  <si>
    <t>จำนวนครู</t>
  </si>
  <si>
    <t>หร. : ครู</t>
  </si>
  <si>
    <t>จำนวนห้องเรียน</t>
  </si>
  <si>
    <t>หร. : รร.</t>
  </si>
  <si>
    <t>นร. : รร.</t>
  </si>
  <si>
    <t>ห้องเรียน</t>
  </si>
  <si>
    <t>นร. : หร.</t>
  </si>
  <si>
    <t xml:space="preserve">จำนวน    </t>
  </si>
  <si>
    <t>ครุผู้สอน</t>
  </si>
  <si>
    <t>ตาราง  3  จำนวนห้องเรียน จำแนกรายระดับการศึกษา และจังหวัด ในขตตรวจราชการที่ 17 และ 18 ปีการศึกษา 2558</t>
  </si>
  <si>
    <t>ตาราง  4  จำนวนนักเรียนนักศึกษา จำแนกตามระดับการศึกษา และจังหวัด ในขตตรวจราชการที่ 17 และ 18  ปีการศึกษา 2558</t>
  </si>
  <si>
    <t>ตาราง  1  จำนวนสถานศึกษา จำแนกตามจังหวัด และสังกัด ในขตตรวจราชการที่ 17 และ 18 ปีการศึกษา 2558</t>
  </si>
  <si>
    <t>ตาราง  5  อัตราส่วนจำนวนครูผู้สอนต่อสถานศึกษา จำแนกตามจังหวัด และสังกัด ในขตตรวจราชการที่ 17 และ 18 ปีการศึกษา 2558</t>
  </si>
  <si>
    <t>ตาราง  6  อัตราส่วนจำนวนห้องเรียนต่อครูผู้สอน จำแนกตามระดับการศึกษา และจังหวัด ในขตตรวจราชการที่ 17 และ 18 ปีการศึกษา 2558</t>
  </si>
  <si>
    <t>ตาราง  7  อัตราส่วนจำนวนห้องเรียนต่อสถานสึกษา จำแนกตามจังหวัด และสังกัด ในขตตรวจราชการที่ 17 และ 18 ปีการศึกษา 2558</t>
  </si>
  <si>
    <t>ตาราง  8  อัตราส่วนจำนวนนักเรียนนักศึกษาต่อสถานศึกษา จำแนกรายระดับการศึกษา และจังหวัด ในขตตรวจราชการที่ 17 และ 18  ปีการศึกษา 2558</t>
  </si>
  <si>
    <t>ตาราง  9  อัตราส่วนจำนวนนักเรียนนักศึกษาต่อห้องเรียน จำแนกรายระดับการศึกษา และจังหวัด ในขตตรวจราชการที่ 17 และ 18  ปีการศึกษา 2558</t>
  </si>
  <si>
    <t>ตาราง  10  อัตราส่วนจำนวนนักเรียนนักศึกษาต่อครูผู้สอน จำแนกรายระดับการศึกษา และจังหวัด ในขตตรวจราชการที่ 17 และ 18  ปีการศึกษา 2558</t>
  </si>
  <si>
    <t>ตาราง   2  จำนวนครูอาจารย์ จำแนกตามจังหวัด และสังกัด ในขตตรวจราชการที่ 17 และ 18 ปีการศึกษา 2558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</si>
</sst>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5" x14ac:knownFonts="1">
    <font>
      <sz val="11"/>
      <color theme="1"/>
      <name val="Tahoma"/>
      <family val="2"/>
      <scheme val="minor"/>
    </font>
    <font>
      <sz val="14"/>
      <color theme="1"/>
      <name val="Angsana New"/>
      <family val="1"/>
    </font>
    <font>
      <b/>
      <sz val="14"/>
      <color theme="1"/>
      <name val="Angsana New"/>
      <family val="1"/>
    </font>
    <font>
      <b/>
      <sz val="16"/>
      <color theme="1"/>
      <name val="Angsana New"/>
      <family val="1"/>
    </font>
    <font>
      <b/>
      <sz val="11"/>
      <color theme="1"/>
      <name val="Tahoma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3" xfId="0" applyFont="1" applyBorder="1" applyAlignment="1">
      <alignment horizontal="center"/>
    </xf>
    <xf numFmtId="0" fontId="1" fillId="0" borderId="3" xfId="0" applyFont="1" applyBorder="1"/>
    <xf numFmtId="41" fontId="1" fillId="0" borderId="3" xfId="0" applyNumberFormat="1" applyFont="1" applyBorder="1"/>
    <xf numFmtId="41" fontId="1" fillId="0" borderId="1" xfId="0" applyNumberFormat="1" applyFont="1" applyBorder="1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4" fillId="0" borderId="0" xfId="0" applyFont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41" fontId="2" fillId="0" borderId="1" xfId="0" applyNumberFormat="1" applyFont="1" applyBorder="1"/>
    <xf numFmtId="41" fontId="2" fillId="0" borderId="2" xfId="0" applyNumberFormat="1" applyFont="1" applyBorder="1"/>
    <xf numFmtId="41" fontId="2" fillId="0" borderId="3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2" xfId="0" applyBorder="1"/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41" fontId="2" fillId="0" borderId="3" xfId="0" applyNumberFormat="1" applyFont="1" applyBorder="1" applyAlignment="1">
      <alignment horizontal="center" vertical="center"/>
    </xf>
    <xf numFmtId="41" fontId="2" fillId="0" borderId="1" xfId="0" applyNumberFormat="1" applyFont="1" applyBorder="1" applyAlignment="1">
      <alignment horizontal="center" vertical="center"/>
    </xf>
    <xf numFmtId="41" fontId="2" fillId="0" borderId="2" xfId="0" applyNumberFormat="1" applyFont="1" applyBorder="1" applyAlignment="1">
      <alignment horizontal="center" vertical="center"/>
    </xf>
    <xf numFmtId="41" fontId="2" fillId="0" borderId="2" xfId="0" applyNumberFormat="1" applyFont="1" applyBorder="1" applyAlignment="1">
      <alignment horizontal="center" wrapText="1"/>
    </xf>
    <xf numFmtId="41" fontId="2" fillId="0" borderId="3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1" fontId="2" fillId="0" borderId="1" xfId="0" applyNumberFormat="1" applyFont="1" applyBorder="1" applyAlignment="1">
      <alignment horizontal="center" wrapText="1"/>
    </xf>
    <xf numFmtId="41" fontId="2" fillId="0" borderId="2" xfId="0" applyNumberFormat="1" applyFont="1" applyBorder="1" applyAlignment="1">
      <alignment horizontal="center" vertical="center" wrapText="1"/>
    </xf>
    <xf numFmtId="41" fontId="2" fillId="0" borderId="3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>
      <selection activeCell="B9" sqref="B9"/>
    </sheetView>
  </sheetViews>
  <sheetFormatPr defaultColWidth="9" defaultRowHeight="21" x14ac:dyDescent="0.45"/>
  <cols>
    <col min="1" max="1" width="5.375" style="2" customWidth="1"/>
    <col min="2" max="2" width="18.75" style="1" customWidth="1"/>
    <col min="3" max="9" width="12" style="1" customWidth="1"/>
    <col min="10" max="10" width="12" style="10" customWidth="1"/>
    <col min="11" max="16384" width="9" style="1"/>
  </cols>
  <sheetData>
    <row r="1" spans="1:10" ht="23.25" x14ac:dyDescent="0.5">
      <c r="A1" s="13" t="s">
        <v>46</v>
      </c>
    </row>
    <row r="2" spans="1:10" ht="13.5" customHeight="1" x14ac:dyDescent="0.45">
      <c r="A2" s="3"/>
    </row>
    <row r="3" spans="1:10" s="10" customFormat="1" x14ac:dyDescent="0.45">
      <c r="A3" s="34" t="s">
        <v>0</v>
      </c>
      <c r="B3" s="34" t="s">
        <v>1</v>
      </c>
      <c r="C3" s="33" t="s">
        <v>21</v>
      </c>
      <c r="D3" s="33"/>
      <c r="E3" s="33"/>
      <c r="F3" s="33"/>
      <c r="G3" s="33"/>
      <c r="H3" s="33"/>
      <c r="I3" s="33"/>
      <c r="J3" s="34" t="s">
        <v>20</v>
      </c>
    </row>
    <row r="4" spans="1:10" s="12" customFormat="1" x14ac:dyDescent="0.2">
      <c r="A4" s="34"/>
      <c r="B4" s="34"/>
      <c r="C4" s="11" t="s">
        <v>13</v>
      </c>
      <c r="D4" s="11" t="s">
        <v>14</v>
      </c>
      <c r="E4" s="11" t="s">
        <v>15</v>
      </c>
      <c r="F4" s="11" t="s">
        <v>16</v>
      </c>
      <c r="G4" s="11" t="s">
        <v>17</v>
      </c>
      <c r="H4" s="11" t="s">
        <v>18</v>
      </c>
      <c r="I4" s="11" t="s">
        <v>19</v>
      </c>
      <c r="J4" s="34"/>
    </row>
    <row r="5" spans="1:10" s="10" customFormat="1" x14ac:dyDescent="0.45">
      <c r="A5" s="15"/>
      <c r="B5" s="15" t="s">
        <v>2</v>
      </c>
      <c r="C5" s="16"/>
      <c r="D5" s="16"/>
      <c r="E5" s="16"/>
      <c r="F5" s="16"/>
      <c r="G5" s="16"/>
      <c r="H5" s="16"/>
      <c r="I5" s="16"/>
      <c r="J5" s="16"/>
    </row>
    <row r="6" spans="1:10" x14ac:dyDescent="0.45">
      <c r="A6" s="6">
        <v>1</v>
      </c>
      <c r="B6" s="7" t="s">
        <v>3</v>
      </c>
      <c r="C6" s="8">
        <v>233</v>
      </c>
      <c r="D6" s="8">
        <v>20</v>
      </c>
      <c r="E6" s="8">
        <v>21</v>
      </c>
      <c r="F6" s="8">
        <v>2</v>
      </c>
      <c r="G6" s="8">
        <v>4</v>
      </c>
      <c r="H6" s="8">
        <v>0</v>
      </c>
      <c r="I6" s="8">
        <v>9</v>
      </c>
      <c r="J6" s="19">
        <f t="shared" ref="J6:J10" si="0">SUM(C6:I6)</f>
        <v>289</v>
      </c>
    </row>
    <row r="7" spans="1:10" x14ac:dyDescent="0.45">
      <c r="A7" s="4">
        <v>2</v>
      </c>
      <c r="B7" s="5" t="s">
        <v>4</v>
      </c>
      <c r="C7" s="9">
        <v>435</v>
      </c>
      <c r="D7" s="9">
        <v>39</v>
      </c>
      <c r="E7" s="9">
        <v>22</v>
      </c>
      <c r="F7" s="9">
        <v>2</v>
      </c>
      <c r="G7" s="9">
        <v>6</v>
      </c>
      <c r="H7" s="9">
        <v>2</v>
      </c>
      <c r="I7" s="9">
        <v>9</v>
      </c>
      <c r="J7" s="17">
        <f t="shared" si="0"/>
        <v>515</v>
      </c>
    </row>
    <row r="8" spans="1:10" x14ac:dyDescent="0.45">
      <c r="A8" s="4">
        <v>3</v>
      </c>
      <c r="B8" s="5" t="s">
        <v>5</v>
      </c>
      <c r="C8" s="9">
        <v>510</v>
      </c>
      <c r="D8" s="9">
        <v>39</v>
      </c>
      <c r="E8" s="9">
        <v>59</v>
      </c>
      <c r="F8" s="9">
        <v>2</v>
      </c>
      <c r="G8" s="9">
        <v>5</v>
      </c>
      <c r="H8" s="9">
        <v>1</v>
      </c>
      <c r="I8" s="9">
        <v>11</v>
      </c>
      <c r="J8" s="17">
        <f t="shared" si="0"/>
        <v>627</v>
      </c>
    </row>
    <row r="9" spans="1:10" x14ac:dyDescent="0.45">
      <c r="A9" s="4">
        <v>4</v>
      </c>
      <c r="B9" s="5" t="s">
        <v>6</v>
      </c>
      <c r="C9" s="9">
        <v>313</v>
      </c>
      <c r="D9" s="9">
        <v>27</v>
      </c>
      <c r="E9" s="9">
        <v>11</v>
      </c>
      <c r="F9" s="9">
        <v>0</v>
      </c>
      <c r="G9" s="9">
        <v>6</v>
      </c>
      <c r="H9" s="9">
        <v>0</v>
      </c>
      <c r="I9" s="9">
        <v>9</v>
      </c>
      <c r="J9" s="17">
        <f t="shared" si="0"/>
        <v>366</v>
      </c>
    </row>
    <row r="10" spans="1:10" x14ac:dyDescent="0.45">
      <c r="A10" s="4">
        <v>5</v>
      </c>
      <c r="B10" s="5" t="s">
        <v>7</v>
      </c>
      <c r="C10" s="9">
        <v>279</v>
      </c>
      <c r="D10" s="9">
        <v>19</v>
      </c>
      <c r="E10" s="9">
        <v>12</v>
      </c>
      <c r="F10" s="9">
        <v>0</v>
      </c>
      <c r="G10" s="9">
        <v>4</v>
      </c>
      <c r="H10" s="9">
        <v>1</v>
      </c>
      <c r="I10" s="9">
        <v>10</v>
      </c>
      <c r="J10" s="17">
        <f t="shared" si="0"/>
        <v>325</v>
      </c>
    </row>
    <row r="11" spans="1:10" s="10" customFormat="1" x14ac:dyDescent="0.45">
      <c r="A11" s="33" t="s">
        <v>24</v>
      </c>
      <c r="B11" s="33"/>
      <c r="C11" s="17">
        <f t="shared" ref="C11:I11" si="1">SUM(C6:C10)</f>
        <v>1770</v>
      </c>
      <c r="D11" s="17">
        <f t="shared" si="1"/>
        <v>144</v>
      </c>
      <c r="E11" s="17">
        <f t="shared" si="1"/>
        <v>125</v>
      </c>
      <c r="F11" s="17">
        <f t="shared" si="1"/>
        <v>6</v>
      </c>
      <c r="G11" s="17">
        <f t="shared" si="1"/>
        <v>25</v>
      </c>
      <c r="H11" s="17">
        <f t="shared" si="1"/>
        <v>4</v>
      </c>
      <c r="I11" s="17">
        <f t="shared" si="1"/>
        <v>48</v>
      </c>
      <c r="J11" s="17">
        <f>SUM(C11:I11)</f>
        <v>2122</v>
      </c>
    </row>
    <row r="12" spans="1:10" s="10" customFormat="1" x14ac:dyDescent="0.45">
      <c r="A12" s="15"/>
      <c r="B12" s="15" t="s">
        <v>8</v>
      </c>
      <c r="C12" s="18"/>
      <c r="D12" s="18"/>
      <c r="E12" s="18"/>
      <c r="F12" s="18"/>
      <c r="G12" s="18"/>
      <c r="H12" s="18"/>
      <c r="I12" s="18"/>
      <c r="J12" s="18"/>
    </row>
    <row r="13" spans="1:10" x14ac:dyDescent="0.45">
      <c r="A13" s="6">
        <v>6</v>
      </c>
      <c r="B13" s="7" t="s">
        <v>9</v>
      </c>
      <c r="C13" s="8">
        <v>396</v>
      </c>
      <c r="D13" s="8">
        <v>32</v>
      </c>
      <c r="E13" s="8">
        <v>37</v>
      </c>
      <c r="F13" s="8">
        <v>0</v>
      </c>
      <c r="G13" s="8">
        <v>4</v>
      </c>
      <c r="H13" s="8">
        <v>1</v>
      </c>
      <c r="I13" s="8">
        <v>11</v>
      </c>
      <c r="J13" s="19">
        <f>SUM(C13:I13)</f>
        <v>481</v>
      </c>
    </row>
    <row r="14" spans="1:10" x14ac:dyDescent="0.45">
      <c r="A14" s="4">
        <v>7</v>
      </c>
      <c r="B14" s="5" t="s">
        <v>10</v>
      </c>
      <c r="C14" s="8">
        <v>524</v>
      </c>
      <c r="D14" s="8">
        <v>37</v>
      </c>
      <c r="E14" s="8">
        <v>61</v>
      </c>
      <c r="F14" s="8">
        <v>1</v>
      </c>
      <c r="G14" s="8">
        <v>7</v>
      </c>
      <c r="H14" s="8">
        <v>1</v>
      </c>
      <c r="I14" s="8">
        <v>16</v>
      </c>
      <c r="J14" s="17">
        <f>SUM(C14:I14)</f>
        <v>647</v>
      </c>
    </row>
    <row r="15" spans="1:10" x14ac:dyDescent="0.45">
      <c r="A15" s="4">
        <v>8</v>
      </c>
      <c r="B15" s="5" t="s">
        <v>11</v>
      </c>
      <c r="C15" s="8">
        <v>318</v>
      </c>
      <c r="D15" s="8">
        <v>30</v>
      </c>
      <c r="E15" s="8">
        <v>22</v>
      </c>
      <c r="F15" s="8">
        <v>1</v>
      </c>
      <c r="G15" s="8">
        <v>3</v>
      </c>
      <c r="H15" s="8">
        <v>0</v>
      </c>
      <c r="I15" s="8">
        <v>12</v>
      </c>
      <c r="J15" s="17">
        <f>SUM(C15:I15)</f>
        <v>386</v>
      </c>
    </row>
    <row r="16" spans="1:10" x14ac:dyDescent="0.45">
      <c r="A16" s="4">
        <v>9</v>
      </c>
      <c r="B16" s="5" t="s">
        <v>12</v>
      </c>
      <c r="C16" s="8">
        <v>216</v>
      </c>
      <c r="D16" s="8">
        <v>21</v>
      </c>
      <c r="E16" s="8">
        <v>13</v>
      </c>
      <c r="F16" s="8">
        <v>0</v>
      </c>
      <c r="G16" s="8">
        <v>3</v>
      </c>
      <c r="H16" s="8">
        <v>0</v>
      </c>
      <c r="I16" s="8">
        <v>8</v>
      </c>
      <c r="J16" s="17">
        <f>SUM(C16:I16)</f>
        <v>261</v>
      </c>
    </row>
    <row r="17" spans="1:10" s="10" customFormat="1" x14ac:dyDescent="0.45">
      <c r="A17" s="33" t="s">
        <v>22</v>
      </c>
      <c r="B17" s="33"/>
      <c r="C17" s="17">
        <f>SUM(C13:C16)</f>
        <v>1454</v>
      </c>
      <c r="D17" s="17">
        <f t="shared" ref="D17:I17" si="2">SUM(D13:D16)</f>
        <v>120</v>
      </c>
      <c r="E17" s="17">
        <f t="shared" si="2"/>
        <v>133</v>
      </c>
      <c r="F17" s="17">
        <f t="shared" si="2"/>
        <v>2</v>
      </c>
      <c r="G17" s="17">
        <f t="shared" si="2"/>
        <v>17</v>
      </c>
      <c r="H17" s="17">
        <f t="shared" si="2"/>
        <v>2</v>
      </c>
      <c r="I17" s="17">
        <f t="shared" si="2"/>
        <v>47</v>
      </c>
      <c r="J17" s="17">
        <f>SUM(C17:I17)</f>
        <v>1775</v>
      </c>
    </row>
    <row r="18" spans="1:10" s="10" customFormat="1" x14ac:dyDescent="0.45">
      <c r="A18" s="33" t="s">
        <v>23</v>
      </c>
      <c r="B18" s="33"/>
      <c r="C18" s="17">
        <f>C17+C11</f>
        <v>3224</v>
      </c>
      <c r="D18" s="17">
        <f t="shared" ref="D18:I18" si="3">D17+D11</f>
        <v>264</v>
      </c>
      <c r="E18" s="17">
        <f t="shared" si="3"/>
        <v>258</v>
      </c>
      <c r="F18" s="17">
        <f t="shared" si="3"/>
        <v>8</v>
      </c>
      <c r="G18" s="17">
        <f t="shared" si="3"/>
        <v>42</v>
      </c>
      <c r="H18" s="17">
        <f t="shared" si="3"/>
        <v>6</v>
      </c>
      <c r="I18" s="17">
        <f t="shared" si="3"/>
        <v>95</v>
      </c>
      <c r="J18" s="17">
        <f>J17+J11</f>
        <v>3897</v>
      </c>
    </row>
  </sheetData>
  <mergeCells count="7">
    <mergeCell ref="A17:B17"/>
    <mergeCell ref="A18:B18"/>
    <mergeCell ref="A11:B11"/>
    <mergeCell ref="C3:I3"/>
    <mergeCell ref="J3:J4"/>
    <mergeCell ref="B3:B4"/>
    <mergeCell ref="A3:A4"/>
  </mergeCells>
  <printOptions horizontalCentered="1"/>
  <pageMargins left="0.51181102362204722" right="0.51181102362204722" top="0.74803149606299213" bottom="0.74803149606299213" header="0.31496062992125984" footer="0.31496062992125984"/>
  <pageSetup paperSize="9" orientation="landscape" useFirstPageNumber="1" horizontalDpi="4294967293" verticalDpi="4294967293" r:id="rId1"/>
  <headerFooter>
    <oddHeader>&amp;C&amp;P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workbookViewId="0">
      <selection activeCell="I10" sqref="I10"/>
    </sheetView>
  </sheetViews>
  <sheetFormatPr defaultRowHeight="14.25" x14ac:dyDescent="0.2"/>
  <cols>
    <col min="1" max="1" width="5.375" customWidth="1"/>
    <col min="2" max="2" width="18.75" customWidth="1"/>
    <col min="3" max="8" width="11" customWidth="1"/>
    <col min="9" max="9" width="10.125" customWidth="1"/>
  </cols>
  <sheetData>
    <row r="1" spans="1:11" ht="23.25" x14ac:dyDescent="0.5">
      <c r="A1" s="13" t="s">
        <v>52</v>
      </c>
      <c r="B1" s="1"/>
      <c r="C1" s="1"/>
      <c r="D1" s="1"/>
      <c r="E1" s="1"/>
      <c r="F1" s="1"/>
      <c r="G1" s="1"/>
      <c r="H1" s="1"/>
      <c r="I1" s="10"/>
    </row>
    <row r="2" spans="1:11" ht="21" x14ac:dyDescent="0.45">
      <c r="A2" s="3"/>
      <c r="B2" s="1"/>
      <c r="C2" s="1"/>
      <c r="D2" s="1"/>
      <c r="E2" s="1"/>
      <c r="F2" s="1"/>
      <c r="G2" s="1"/>
      <c r="H2" s="1"/>
      <c r="I2" s="10"/>
    </row>
    <row r="3" spans="1:11" ht="21" x14ac:dyDescent="0.45">
      <c r="A3" s="34" t="s">
        <v>0</v>
      </c>
      <c r="B3" s="34" t="s">
        <v>1</v>
      </c>
      <c r="C3" s="33" t="s">
        <v>31</v>
      </c>
      <c r="D3" s="33"/>
      <c r="E3" s="33"/>
      <c r="F3" s="33"/>
      <c r="G3" s="33"/>
      <c r="H3" s="33"/>
      <c r="I3" s="34" t="s">
        <v>20</v>
      </c>
      <c r="J3" s="31" t="s">
        <v>42</v>
      </c>
      <c r="K3" s="30" t="s">
        <v>33</v>
      </c>
    </row>
    <row r="4" spans="1:11" ht="21" x14ac:dyDescent="0.45">
      <c r="A4" s="34"/>
      <c r="B4" s="34"/>
      <c r="C4" s="21" t="s">
        <v>25</v>
      </c>
      <c r="D4" s="21" t="s">
        <v>26</v>
      </c>
      <c r="E4" s="21" t="s">
        <v>27</v>
      </c>
      <c r="F4" s="21" t="s">
        <v>28</v>
      </c>
      <c r="G4" s="21" t="s">
        <v>29</v>
      </c>
      <c r="H4" s="21" t="s">
        <v>30</v>
      </c>
      <c r="I4" s="34"/>
      <c r="J4" s="32" t="s">
        <v>43</v>
      </c>
      <c r="K4" s="28" t="s">
        <v>39</v>
      </c>
    </row>
    <row r="5" spans="1:11" ht="21" x14ac:dyDescent="0.45">
      <c r="A5" s="15"/>
      <c r="B5" s="15" t="s">
        <v>2</v>
      </c>
      <c r="C5" s="16"/>
      <c r="D5" s="16"/>
      <c r="E5" s="16"/>
      <c r="F5" s="16"/>
      <c r="G5" s="16"/>
      <c r="H5" s="16"/>
      <c r="I5" s="16"/>
      <c r="J5" s="18"/>
      <c r="K5" s="18"/>
    </row>
    <row r="6" spans="1:11" ht="21" x14ac:dyDescent="0.45">
      <c r="A6" s="6">
        <v>1</v>
      </c>
      <c r="B6" s="7" t="s">
        <v>3</v>
      </c>
      <c r="C6" s="8">
        <f>12122+3878+11</f>
        <v>16011</v>
      </c>
      <c r="D6" s="8">
        <f>40232+7106+69+201+430+876</f>
        <v>48914</v>
      </c>
      <c r="E6" s="8">
        <f>7572+9433+1658+26+407+352+2063</f>
        <v>21511</v>
      </c>
      <c r="F6" s="8">
        <f>7813+870+658+29+323+450+3333</f>
        <v>13476</v>
      </c>
      <c r="G6" s="8">
        <f>3825+232</f>
        <v>4057</v>
      </c>
      <c r="H6" s="8">
        <f>1191</f>
        <v>1191</v>
      </c>
      <c r="I6" s="19">
        <f t="shared" ref="I6:I11" si="0">SUM(C6:H6)</f>
        <v>105160</v>
      </c>
      <c r="J6" s="28">
        <v>5501</v>
      </c>
      <c r="K6" s="28" t="str">
        <f>TEXT(I6/J6,"0")&amp;" : 1"</f>
        <v>19 : 1</v>
      </c>
    </row>
    <row r="7" spans="1:11" ht="21" x14ac:dyDescent="0.45">
      <c r="A7" s="4">
        <v>2</v>
      </c>
      <c r="B7" s="5" t="s">
        <v>4</v>
      </c>
      <c r="C7" s="8">
        <f>12445+4630+8+300</f>
        <v>17383</v>
      </c>
      <c r="D7" s="8">
        <f>41875+10359+173+191+578</f>
        <v>53176</v>
      </c>
      <c r="E7" s="8">
        <f>13319+10078+2353+116+301+3582</f>
        <v>29749</v>
      </c>
      <c r="F7" s="8">
        <f>14366+246+939+123+271+6981</f>
        <v>22926</v>
      </c>
      <c r="G7" s="8">
        <f>6778+1349</f>
        <v>8127</v>
      </c>
      <c r="H7" s="8">
        <f>932+4408</f>
        <v>5340</v>
      </c>
      <c r="I7" s="17">
        <f t="shared" si="0"/>
        <v>136701</v>
      </c>
      <c r="J7" s="29">
        <v>7611</v>
      </c>
      <c r="K7" s="29" t="str">
        <f t="shared" ref="K7:K11" si="1">TEXT(I7/J7,"0")&amp;" : 1"</f>
        <v>18 : 1</v>
      </c>
    </row>
    <row r="8" spans="1:11" ht="21" x14ac:dyDescent="0.45">
      <c r="A8" s="4">
        <v>3</v>
      </c>
      <c r="B8" s="5" t="s">
        <v>5</v>
      </c>
      <c r="C8" s="8">
        <f>12510+10119+22+46</f>
        <v>22697</v>
      </c>
      <c r="D8" s="8">
        <f>45378+19660+115+276+757</f>
        <v>66186</v>
      </c>
      <c r="E8" s="8">
        <f>14448+10788+5256+97+303+5315</f>
        <v>36207</v>
      </c>
      <c r="F8" s="8">
        <f>15092+885+1613+67+133+8074</f>
        <v>25864</v>
      </c>
      <c r="G8" s="8">
        <f>4185+3141+44</f>
        <v>7370</v>
      </c>
      <c r="H8" s="8">
        <f>529+2227</f>
        <v>2756</v>
      </c>
      <c r="I8" s="17">
        <f t="shared" si="0"/>
        <v>161080</v>
      </c>
      <c r="J8" s="29">
        <v>8990</v>
      </c>
      <c r="K8" s="29" t="str">
        <f t="shared" si="1"/>
        <v>18 : 1</v>
      </c>
    </row>
    <row r="9" spans="1:11" ht="21" x14ac:dyDescent="0.45">
      <c r="A9" s="4">
        <v>4</v>
      </c>
      <c r="B9" s="5" t="s">
        <v>6</v>
      </c>
      <c r="C9" s="8">
        <f>8455+2117</f>
        <v>10572</v>
      </c>
      <c r="D9" s="8">
        <f>29912+2147+287</f>
        <v>32346</v>
      </c>
      <c r="E9" s="8">
        <f>11473+4211+136+2769</f>
        <v>18589</v>
      </c>
      <c r="F9" s="8">
        <f>10006+4700</f>
        <v>14706</v>
      </c>
      <c r="G9" s="8">
        <f>3846+121</f>
        <v>3967</v>
      </c>
      <c r="H9" s="8">
        <f>2311</f>
        <v>2311</v>
      </c>
      <c r="I9" s="17">
        <f t="shared" si="0"/>
        <v>82491</v>
      </c>
      <c r="J9" s="29">
        <v>4955</v>
      </c>
      <c r="K9" s="29" t="str">
        <f t="shared" si="1"/>
        <v>17 : 1</v>
      </c>
    </row>
    <row r="10" spans="1:11" ht="21" x14ac:dyDescent="0.45">
      <c r="A10" s="4">
        <v>5</v>
      </c>
      <c r="B10" s="5" t="s">
        <v>7</v>
      </c>
      <c r="C10" s="8">
        <f>5926+1418</f>
        <v>7344</v>
      </c>
      <c r="D10" s="8">
        <f>20157+3461+648</f>
        <v>24266</v>
      </c>
      <c r="E10" s="8">
        <f>8375+3562+828+78+2392</f>
        <v>15235</v>
      </c>
      <c r="F10" s="8">
        <f>7351+116+196+4618</f>
        <v>12281</v>
      </c>
      <c r="G10" s="8">
        <f>27+1430+5082+38</f>
        <v>6577</v>
      </c>
      <c r="H10" s="8">
        <f>700+2640</f>
        <v>3340</v>
      </c>
      <c r="I10" s="17">
        <f t="shared" si="0"/>
        <v>69043</v>
      </c>
      <c r="J10" s="29">
        <v>3630</v>
      </c>
      <c r="K10" s="29" t="str">
        <f t="shared" si="1"/>
        <v>19 : 1</v>
      </c>
    </row>
    <row r="11" spans="1:11" ht="21" x14ac:dyDescent="0.45">
      <c r="A11" s="33" t="s">
        <v>24</v>
      </c>
      <c r="B11" s="33"/>
      <c r="C11" s="17">
        <f t="shared" ref="C11:H11" si="2">SUM(C6:C10)</f>
        <v>74007</v>
      </c>
      <c r="D11" s="17">
        <f t="shared" si="2"/>
        <v>224888</v>
      </c>
      <c r="E11" s="17">
        <f t="shared" si="2"/>
        <v>121291</v>
      </c>
      <c r="F11" s="17">
        <f t="shared" si="2"/>
        <v>89253</v>
      </c>
      <c r="G11" s="17">
        <f t="shared" si="2"/>
        <v>30098</v>
      </c>
      <c r="H11" s="17">
        <f t="shared" si="2"/>
        <v>14938</v>
      </c>
      <c r="I11" s="17">
        <f t="shared" si="0"/>
        <v>554475</v>
      </c>
      <c r="J11" s="17">
        <f>SUM(J6:J10)</f>
        <v>30687</v>
      </c>
      <c r="K11" s="29" t="str">
        <f t="shared" si="1"/>
        <v>18 : 1</v>
      </c>
    </row>
    <row r="12" spans="1:11" ht="21" x14ac:dyDescent="0.45">
      <c r="A12" s="15"/>
      <c r="B12" s="15" t="s">
        <v>8</v>
      </c>
      <c r="C12" s="18"/>
      <c r="D12" s="18"/>
      <c r="E12" s="18"/>
      <c r="F12" s="18"/>
      <c r="G12" s="18"/>
      <c r="H12" s="18"/>
      <c r="I12" s="18"/>
      <c r="J12" s="18"/>
      <c r="K12" s="30"/>
    </row>
    <row r="13" spans="1:11" ht="21" x14ac:dyDescent="0.45">
      <c r="A13" s="6">
        <v>6</v>
      </c>
      <c r="B13" s="7" t="s">
        <v>9</v>
      </c>
      <c r="C13" s="8">
        <f>11388+7139+173</f>
        <v>18700</v>
      </c>
      <c r="D13" s="8">
        <f>38685+12337+846</f>
        <v>51868</v>
      </c>
      <c r="E13" s="8">
        <f>15341+6504+667+6459</f>
        <v>28971</v>
      </c>
      <c r="F13" s="8">
        <f>12883+9731</f>
        <v>22614</v>
      </c>
      <c r="G13" s="8">
        <f>157+359+3515+282</f>
        <v>4313</v>
      </c>
      <c r="H13" s="8">
        <f>177+2178</f>
        <v>2355</v>
      </c>
      <c r="I13" s="19">
        <f>SUM(C13:H13)</f>
        <v>128821</v>
      </c>
      <c r="J13" s="28">
        <v>6785</v>
      </c>
      <c r="K13" s="28" t="str">
        <f>TEXT(I13/J13,"0")&amp;" : 1"</f>
        <v>19 : 1</v>
      </c>
    </row>
    <row r="14" spans="1:11" ht="21" x14ac:dyDescent="0.45">
      <c r="A14" s="4">
        <v>7</v>
      </c>
      <c r="B14" s="5" t="s">
        <v>10</v>
      </c>
      <c r="C14" s="8">
        <f>13398+8954+20+242</f>
        <v>22614</v>
      </c>
      <c r="D14" s="8">
        <f>18912+45974+222+185+586</f>
        <v>65879</v>
      </c>
      <c r="E14" s="8">
        <f>20111+7621+5228+100+74+6170</f>
        <v>39304</v>
      </c>
      <c r="F14" s="8">
        <f>17020+58+2135+69+83+9950</f>
        <v>29315</v>
      </c>
      <c r="G14" s="8">
        <f>314+1055+6787</f>
        <v>8156</v>
      </c>
      <c r="H14" s="8">
        <f>372+3836</f>
        <v>4208</v>
      </c>
      <c r="I14" s="17">
        <f>SUM(C14:H14)</f>
        <v>169476</v>
      </c>
      <c r="J14" s="29">
        <v>8532</v>
      </c>
      <c r="K14" s="29" t="str">
        <f t="shared" ref="K14:K18" si="3">TEXT(I14/J14,"0")&amp;" : 1"</f>
        <v>20 : 1</v>
      </c>
    </row>
    <row r="15" spans="1:11" ht="21" x14ac:dyDescent="0.45">
      <c r="A15" s="4">
        <v>8</v>
      </c>
      <c r="B15" s="5" t="s">
        <v>11</v>
      </c>
      <c r="C15" s="8">
        <f>7009+3498+21</f>
        <v>10528</v>
      </c>
      <c r="D15" s="8">
        <f>24525+7672+197+653</f>
        <v>33047</v>
      </c>
      <c r="E15" s="8">
        <f>9997+4530+1290+93+2734</f>
        <v>18644</v>
      </c>
      <c r="F15" s="8">
        <f>8825+45+201+49+4733</f>
        <v>13853</v>
      </c>
      <c r="G15" s="8">
        <f>342+2478+86</f>
        <v>2906</v>
      </c>
      <c r="H15" s="8">
        <f>88+1226</f>
        <v>1314</v>
      </c>
      <c r="I15" s="17">
        <f>SUM(C15:H15)</f>
        <v>80292</v>
      </c>
      <c r="J15" s="29">
        <v>4837</v>
      </c>
      <c r="K15" s="29" t="str">
        <f t="shared" si="3"/>
        <v>17 : 1</v>
      </c>
    </row>
    <row r="16" spans="1:11" ht="21" x14ac:dyDescent="0.45">
      <c r="A16" s="4">
        <v>9</v>
      </c>
      <c r="B16" s="5" t="s">
        <v>12</v>
      </c>
      <c r="C16" s="8">
        <f>5892+1252</f>
        <v>7144</v>
      </c>
      <c r="D16" s="8">
        <f>20223+2441+170</f>
        <v>22834</v>
      </c>
      <c r="E16" s="8">
        <f>4690+3004+1366+2204</f>
        <v>11264</v>
      </c>
      <c r="F16" s="8">
        <f>3912+267+3027</f>
        <v>7206</v>
      </c>
      <c r="G16" s="8">
        <f>106+2081+48</f>
        <v>2235</v>
      </c>
      <c r="H16" s="8">
        <f>1117</f>
        <v>1117</v>
      </c>
      <c r="I16" s="17">
        <f>SUM(C16:H16)</f>
        <v>51800</v>
      </c>
      <c r="J16" s="29">
        <v>3104</v>
      </c>
      <c r="K16" s="29" t="str">
        <f t="shared" si="3"/>
        <v>17 : 1</v>
      </c>
    </row>
    <row r="17" spans="1:11" ht="21" x14ac:dyDescent="0.45">
      <c r="A17" s="33" t="s">
        <v>22</v>
      </c>
      <c r="B17" s="33"/>
      <c r="C17" s="17">
        <f t="shared" ref="C17:H17" si="4">SUM(C13:C16)</f>
        <v>58986</v>
      </c>
      <c r="D17" s="17">
        <f t="shared" si="4"/>
        <v>173628</v>
      </c>
      <c r="E17" s="17">
        <f t="shared" si="4"/>
        <v>98183</v>
      </c>
      <c r="F17" s="17">
        <f t="shared" si="4"/>
        <v>72988</v>
      </c>
      <c r="G17" s="17">
        <f t="shared" si="4"/>
        <v>17610</v>
      </c>
      <c r="H17" s="17">
        <f t="shared" si="4"/>
        <v>8994</v>
      </c>
      <c r="I17" s="17">
        <f>SUM(C17:H17)</f>
        <v>430389</v>
      </c>
      <c r="J17" s="17">
        <f>SUM(J13:J16)</f>
        <v>23258</v>
      </c>
      <c r="K17" s="29" t="str">
        <f t="shared" si="3"/>
        <v>19 : 1</v>
      </c>
    </row>
    <row r="18" spans="1:11" ht="21" x14ac:dyDescent="0.45">
      <c r="A18" s="33" t="s">
        <v>23</v>
      </c>
      <c r="B18" s="33"/>
      <c r="C18" s="17">
        <f>C17+C11</f>
        <v>132993</v>
      </c>
      <c r="D18" s="17">
        <f t="shared" ref="D18:I18" si="5">D17+D11</f>
        <v>398516</v>
      </c>
      <c r="E18" s="17">
        <f t="shared" si="5"/>
        <v>219474</v>
      </c>
      <c r="F18" s="17">
        <f t="shared" si="5"/>
        <v>162241</v>
      </c>
      <c r="G18" s="17">
        <f t="shared" si="5"/>
        <v>47708</v>
      </c>
      <c r="H18" s="17">
        <f t="shared" si="5"/>
        <v>23932</v>
      </c>
      <c r="I18" s="17">
        <f t="shared" si="5"/>
        <v>984864</v>
      </c>
      <c r="J18" s="17">
        <f>J17+J11</f>
        <v>53945</v>
      </c>
      <c r="K18" s="29" t="str">
        <f t="shared" si="3"/>
        <v>18 : 1</v>
      </c>
    </row>
  </sheetData>
  <mergeCells count="7">
    <mergeCell ref="I3:I4"/>
    <mergeCell ref="A11:B11"/>
    <mergeCell ref="A17:B17"/>
    <mergeCell ref="A18:B18"/>
    <mergeCell ref="A3:A4"/>
    <mergeCell ref="B3:B4"/>
    <mergeCell ref="C3:H3"/>
  </mergeCells>
  <printOptions horizontalCentered="1"/>
  <pageMargins left="0.70866141732283472" right="0.70866141732283472" top="0.74803149606299213" bottom="0.74803149606299213" header="0.31496062992125984" footer="0.31496062992125984"/>
  <pageSetup paperSize="9" firstPageNumber="10" orientation="landscape" useFirstPageNumber="1" horizontalDpi="4294967293" verticalDpi="4294967293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>
      <selection activeCell="A2" sqref="A2"/>
    </sheetView>
  </sheetViews>
  <sheetFormatPr defaultRowHeight="14.25" x14ac:dyDescent="0.2"/>
  <cols>
    <col min="1" max="1" width="5.375" customWidth="1"/>
    <col min="2" max="2" width="18.75" customWidth="1"/>
    <col min="3" max="9" width="11.375" customWidth="1"/>
    <col min="10" max="10" width="11.375" style="14" customWidth="1"/>
  </cols>
  <sheetData>
    <row r="1" spans="1:10" ht="23.25" x14ac:dyDescent="0.5">
      <c r="A1" s="13" t="s">
        <v>53</v>
      </c>
      <c r="B1" s="1"/>
      <c r="C1" s="1"/>
      <c r="D1" s="1"/>
      <c r="E1" s="1"/>
      <c r="F1" s="1"/>
      <c r="G1" s="1"/>
      <c r="H1" s="1"/>
      <c r="I1" s="1"/>
      <c r="J1" s="10"/>
    </row>
    <row r="2" spans="1:10" ht="21" x14ac:dyDescent="0.45">
      <c r="A2" s="3"/>
      <c r="B2" s="1"/>
      <c r="C2" s="1"/>
      <c r="D2" s="1"/>
      <c r="E2" s="1"/>
      <c r="F2" s="1"/>
      <c r="G2" s="1"/>
      <c r="H2" s="1"/>
      <c r="I2" s="1"/>
      <c r="J2" s="10"/>
    </row>
    <row r="3" spans="1:10" s="14" customFormat="1" ht="21" x14ac:dyDescent="0.45">
      <c r="A3" s="34" t="s">
        <v>0</v>
      </c>
      <c r="B3" s="34" t="s">
        <v>1</v>
      </c>
      <c r="C3" s="33" t="s">
        <v>32</v>
      </c>
      <c r="D3" s="33"/>
      <c r="E3" s="33"/>
      <c r="F3" s="33"/>
      <c r="G3" s="33"/>
      <c r="H3" s="33"/>
      <c r="I3" s="33"/>
      <c r="J3" s="34" t="s">
        <v>20</v>
      </c>
    </row>
    <row r="4" spans="1:10" s="14" customFormat="1" ht="21" x14ac:dyDescent="0.2">
      <c r="A4" s="34"/>
      <c r="B4" s="34"/>
      <c r="C4" s="11" t="s">
        <v>13</v>
      </c>
      <c r="D4" s="11" t="s">
        <v>14</v>
      </c>
      <c r="E4" s="11" t="s">
        <v>15</v>
      </c>
      <c r="F4" s="11" t="s">
        <v>16</v>
      </c>
      <c r="G4" s="11" t="s">
        <v>17</v>
      </c>
      <c r="H4" s="11" t="s">
        <v>18</v>
      </c>
      <c r="I4" s="11" t="s">
        <v>19</v>
      </c>
      <c r="J4" s="34"/>
    </row>
    <row r="5" spans="1:10" s="14" customFormat="1" ht="21" x14ac:dyDescent="0.45">
      <c r="A5" s="15"/>
      <c r="B5" s="15" t="s">
        <v>2</v>
      </c>
      <c r="C5" s="16"/>
      <c r="D5" s="16"/>
      <c r="E5" s="16"/>
      <c r="F5" s="16"/>
      <c r="G5" s="16"/>
      <c r="H5" s="16"/>
      <c r="I5" s="16"/>
      <c r="J5" s="16"/>
    </row>
    <row r="6" spans="1:10" ht="21" x14ac:dyDescent="0.45">
      <c r="A6" s="6">
        <v>1</v>
      </c>
      <c r="B6" s="7" t="s">
        <v>3</v>
      </c>
      <c r="C6" s="8">
        <v>3226</v>
      </c>
      <c r="D6" s="8">
        <v>854</v>
      </c>
      <c r="E6" s="8">
        <v>840</v>
      </c>
      <c r="F6" s="8">
        <v>103</v>
      </c>
      <c r="G6" s="8">
        <v>169</v>
      </c>
      <c r="H6" s="8">
        <v>0</v>
      </c>
      <c r="I6" s="8">
        <v>309</v>
      </c>
      <c r="J6" s="19">
        <f t="shared" ref="J6:J11" si="0">SUM(C6:I6)</f>
        <v>5501</v>
      </c>
    </row>
    <row r="7" spans="1:10" ht="21" x14ac:dyDescent="0.45">
      <c r="A7" s="4">
        <v>2</v>
      </c>
      <c r="B7" s="5" t="s">
        <v>4</v>
      </c>
      <c r="C7" s="9">
        <v>4169</v>
      </c>
      <c r="D7" s="9">
        <v>1702</v>
      </c>
      <c r="E7" s="9">
        <v>929</v>
      </c>
      <c r="F7" s="9">
        <v>110</v>
      </c>
      <c r="G7" s="9">
        <v>440</v>
      </c>
      <c r="H7" s="9">
        <v>111</v>
      </c>
      <c r="I7" s="9">
        <v>150</v>
      </c>
      <c r="J7" s="17">
        <f t="shared" si="0"/>
        <v>7611</v>
      </c>
    </row>
    <row r="8" spans="1:10" ht="21" x14ac:dyDescent="0.45">
      <c r="A8" s="4">
        <v>3</v>
      </c>
      <c r="B8" s="5" t="s">
        <v>5</v>
      </c>
      <c r="C8" s="9">
        <v>4977</v>
      </c>
      <c r="D8" s="9">
        <v>1675</v>
      </c>
      <c r="E8" s="9">
        <v>1876</v>
      </c>
      <c r="F8" s="9">
        <v>106</v>
      </c>
      <c r="G8" s="9">
        <v>154</v>
      </c>
      <c r="H8" s="9">
        <v>9</v>
      </c>
      <c r="I8" s="9">
        <v>193</v>
      </c>
      <c r="J8" s="17">
        <f t="shared" si="0"/>
        <v>8990</v>
      </c>
    </row>
    <row r="9" spans="1:10" ht="21" x14ac:dyDescent="0.45">
      <c r="A9" s="4">
        <v>4</v>
      </c>
      <c r="B9" s="5" t="s">
        <v>6</v>
      </c>
      <c r="C9" s="9">
        <v>2973</v>
      </c>
      <c r="D9" s="9">
        <v>1248</v>
      </c>
      <c r="E9" s="9">
        <v>284</v>
      </c>
      <c r="F9" s="9">
        <v>0</v>
      </c>
      <c r="G9" s="9">
        <v>296</v>
      </c>
      <c r="H9" s="9">
        <v>0</v>
      </c>
      <c r="I9" s="9">
        <v>154</v>
      </c>
      <c r="J9" s="17">
        <f t="shared" si="0"/>
        <v>4955</v>
      </c>
    </row>
    <row r="10" spans="1:10" ht="21" x14ac:dyDescent="0.45">
      <c r="A10" s="4">
        <v>5</v>
      </c>
      <c r="B10" s="5" t="s">
        <v>7</v>
      </c>
      <c r="C10" s="9">
        <v>2158</v>
      </c>
      <c r="D10" s="9">
        <v>599</v>
      </c>
      <c r="E10" s="9">
        <v>361</v>
      </c>
      <c r="F10" s="9">
        <v>0</v>
      </c>
      <c r="G10" s="9">
        <v>289</v>
      </c>
      <c r="H10" s="9">
        <v>100</v>
      </c>
      <c r="I10" s="9">
        <v>123</v>
      </c>
      <c r="J10" s="17">
        <f t="shared" si="0"/>
        <v>3630</v>
      </c>
    </row>
    <row r="11" spans="1:10" s="14" customFormat="1" ht="21" x14ac:dyDescent="0.45">
      <c r="A11" s="33" t="s">
        <v>24</v>
      </c>
      <c r="B11" s="33"/>
      <c r="C11" s="17">
        <f t="shared" ref="C11:I11" si="1">SUM(C6:C10)</f>
        <v>17503</v>
      </c>
      <c r="D11" s="17">
        <f t="shared" si="1"/>
        <v>6078</v>
      </c>
      <c r="E11" s="17">
        <f t="shared" si="1"/>
        <v>4290</v>
      </c>
      <c r="F11" s="17">
        <f t="shared" si="1"/>
        <v>319</v>
      </c>
      <c r="G11" s="17">
        <f t="shared" si="1"/>
        <v>1348</v>
      </c>
      <c r="H11" s="17">
        <f t="shared" si="1"/>
        <v>220</v>
      </c>
      <c r="I11" s="17">
        <f t="shared" si="1"/>
        <v>929</v>
      </c>
      <c r="J11" s="17">
        <f t="shared" si="0"/>
        <v>30687</v>
      </c>
    </row>
    <row r="12" spans="1:10" s="14" customFormat="1" ht="21" x14ac:dyDescent="0.45">
      <c r="A12" s="15"/>
      <c r="B12" s="15" t="s">
        <v>8</v>
      </c>
      <c r="C12" s="18"/>
      <c r="D12" s="18"/>
      <c r="E12" s="18"/>
      <c r="F12" s="18"/>
      <c r="G12" s="18"/>
      <c r="H12" s="18"/>
      <c r="I12" s="18"/>
      <c r="J12" s="18"/>
    </row>
    <row r="13" spans="1:10" ht="21" x14ac:dyDescent="0.45">
      <c r="A13" s="6">
        <v>6</v>
      </c>
      <c r="B13" s="7" t="s">
        <v>9</v>
      </c>
      <c r="C13" s="8">
        <v>3826</v>
      </c>
      <c r="D13" s="8">
        <v>1536</v>
      </c>
      <c r="E13" s="8">
        <v>1006</v>
      </c>
      <c r="F13" s="8">
        <v>0</v>
      </c>
      <c r="G13" s="8">
        <v>252</v>
      </c>
      <c r="H13" s="8">
        <v>5</v>
      </c>
      <c r="I13" s="8">
        <v>160</v>
      </c>
      <c r="J13" s="19">
        <f>SUM(C13:I13)</f>
        <v>6785</v>
      </c>
    </row>
    <row r="14" spans="1:10" ht="21" x14ac:dyDescent="0.45">
      <c r="A14" s="4">
        <v>7</v>
      </c>
      <c r="B14" s="5" t="s">
        <v>10</v>
      </c>
      <c r="C14" s="8">
        <v>4198</v>
      </c>
      <c r="D14" s="8">
        <v>1820</v>
      </c>
      <c r="E14" s="8">
        <v>1750</v>
      </c>
      <c r="F14" s="8">
        <v>54</v>
      </c>
      <c r="G14" s="8">
        <v>453</v>
      </c>
      <c r="H14" s="8">
        <v>30</v>
      </c>
      <c r="I14" s="8">
        <v>227</v>
      </c>
      <c r="J14" s="17">
        <f>SUM(C14:I14)</f>
        <v>8532</v>
      </c>
    </row>
    <row r="15" spans="1:10" ht="21" x14ac:dyDescent="0.45">
      <c r="A15" s="4">
        <v>8</v>
      </c>
      <c r="B15" s="5" t="s">
        <v>11</v>
      </c>
      <c r="C15" s="8">
        <v>2620</v>
      </c>
      <c r="D15" s="8">
        <v>1086</v>
      </c>
      <c r="E15" s="8">
        <v>692</v>
      </c>
      <c r="F15" s="8">
        <v>78</v>
      </c>
      <c r="G15" s="8">
        <v>211</v>
      </c>
      <c r="H15" s="8">
        <v>0</v>
      </c>
      <c r="I15" s="8">
        <v>150</v>
      </c>
      <c r="J15" s="17">
        <f>SUM(C15:I15)</f>
        <v>4837</v>
      </c>
    </row>
    <row r="16" spans="1:10" ht="21" x14ac:dyDescent="0.45">
      <c r="A16" s="4">
        <v>9</v>
      </c>
      <c r="B16" s="5" t="s">
        <v>12</v>
      </c>
      <c r="C16" s="8">
        <v>1786</v>
      </c>
      <c r="D16" s="8">
        <v>812</v>
      </c>
      <c r="E16" s="8">
        <v>252</v>
      </c>
      <c r="F16" s="8">
        <v>0</v>
      </c>
      <c r="G16" s="8">
        <v>165</v>
      </c>
      <c r="H16" s="8">
        <v>0</v>
      </c>
      <c r="I16" s="8">
        <v>89</v>
      </c>
      <c r="J16" s="17">
        <f>SUM(C16:I16)</f>
        <v>3104</v>
      </c>
    </row>
    <row r="17" spans="1:10" s="14" customFormat="1" ht="21" x14ac:dyDescent="0.45">
      <c r="A17" s="33" t="s">
        <v>22</v>
      </c>
      <c r="B17" s="33"/>
      <c r="C17" s="17">
        <f t="shared" ref="C17:I17" si="2">SUM(C13:C16)</f>
        <v>12430</v>
      </c>
      <c r="D17" s="17">
        <f t="shared" si="2"/>
        <v>5254</v>
      </c>
      <c r="E17" s="17">
        <f t="shared" si="2"/>
        <v>3700</v>
      </c>
      <c r="F17" s="17">
        <f t="shared" si="2"/>
        <v>132</v>
      </c>
      <c r="G17" s="17">
        <f t="shared" si="2"/>
        <v>1081</v>
      </c>
      <c r="H17" s="17">
        <f t="shared" si="2"/>
        <v>35</v>
      </c>
      <c r="I17" s="17">
        <f t="shared" si="2"/>
        <v>626</v>
      </c>
      <c r="J17" s="17">
        <f>SUM(C17:I17)</f>
        <v>23258</v>
      </c>
    </row>
    <row r="18" spans="1:10" s="14" customFormat="1" ht="21" x14ac:dyDescent="0.45">
      <c r="A18" s="33" t="s">
        <v>23</v>
      </c>
      <c r="B18" s="33"/>
      <c r="C18" s="17">
        <f>C17+C11</f>
        <v>29933</v>
      </c>
      <c r="D18" s="17">
        <f t="shared" ref="D18:J18" si="3">D17+D11</f>
        <v>11332</v>
      </c>
      <c r="E18" s="17">
        <f t="shared" si="3"/>
        <v>7990</v>
      </c>
      <c r="F18" s="17">
        <f t="shared" si="3"/>
        <v>451</v>
      </c>
      <c r="G18" s="17">
        <f t="shared" si="3"/>
        <v>2429</v>
      </c>
      <c r="H18" s="17">
        <f t="shared" si="3"/>
        <v>255</v>
      </c>
      <c r="I18" s="17">
        <f t="shared" si="3"/>
        <v>1555</v>
      </c>
      <c r="J18" s="17">
        <f t="shared" si="3"/>
        <v>53945</v>
      </c>
    </row>
  </sheetData>
  <mergeCells count="7">
    <mergeCell ref="A18:B18"/>
    <mergeCell ref="A3:A4"/>
    <mergeCell ref="B3:B4"/>
    <mergeCell ref="C3:I3"/>
    <mergeCell ref="J3:J4"/>
    <mergeCell ref="A11:B11"/>
    <mergeCell ref="A17:B17"/>
  </mergeCells>
  <printOptions horizontalCentered="1"/>
  <pageMargins left="0.70866141732283472" right="0.70866141732283472" top="0.74803149606299213" bottom="0.74803149606299213" header="0.31496062992125984" footer="0.31496062992125984"/>
  <pageSetup paperSize="9" firstPageNumber="2" orientation="landscape" useFirstPageNumber="1" horizontalDpi="4294967293" verticalDpi="4294967293" r:id="rId1"/>
  <headerFooter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selection activeCell="C1" sqref="C1:I1048576"/>
    </sheetView>
  </sheetViews>
  <sheetFormatPr defaultRowHeight="14.25" x14ac:dyDescent="0.2"/>
  <cols>
    <col min="1" max="1" width="5.375" customWidth="1"/>
    <col min="2" max="2" width="18.75" customWidth="1"/>
    <col min="3" max="9" width="13.375" customWidth="1"/>
  </cols>
  <sheetData>
    <row r="1" spans="1:9" ht="23.25" x14ac:dyDescent="0.5">
      <c r="A1" s="13" t="s">
        <v>44</v>
      </c>
      <c r="B1" s="1"/>
      <c r="C1" s="1"/>
      <c r="D1" s="1"/>
      <c r="E1" s="1"/>
      <c r="F1" s="1"/>
      <c r="G1" s="1"/>
      <c r="H1" s="1"/>
      <c r="I1" s="10"/>
    </row>
    <row r="2" spans="1:9" ht="21" x14ac:dyDescent="0.45">
      <c r="A2" s="3"/>
      <c r="B2" s="1"/>
      <c r="C2" s="1"/>
      <c r="D2" s="1"/>
      <c r="E2" s="1"/>
      <c r="F2" s="1"/>
      <c r="G2" s="1"/>
      <c r="H2" s="1"/>
      <c r="I2" s="10"/>
    </row>
    <row r="3" spans="1:9" ht="21" x14ac:dyDescent="0.45">
      <c r="A3" s="34" t="s">
        <v>0</v>
      </c>
      <c r="B3" s="34" t="s">
        <v>1</v>
      </c>
      <c r="C3" s="33" t="s">
        <v>31</v>
      </c>
      <c r="D3" s="33"/>
      <c r="E3" s="33"/>
      <c r="F3" s="33"/>
      <c r="G3" s="33"/>
      <c r="H3" s="33"/>
      <c r="I3" s="34" t="s">
        <v>20</v>
      </c>
    </row>
    <row r="4" spans="1:9" ht="21" x14ac:dyDescent="0.2">
      <c r="A4" s="34"/>
      <c r="B4" s="34"/>
      <c r="C4" s="11" t="s">
        <v>25</v>
      </c>
      <c r="D4" s="11" t="s">
        <v>26</v>
      </c>
      <c r="E4" s="11" t="s">
        <v>27</v>
      </c>
      <c r="F4" s="11" t="s">
        <v>28</v>
      </c>
      <c r="G4" s="11" t="s">
        <v>29</v>
      </c>
      <c r="H4" s="11" t="s">
        <v>30</v>
      </c>
      <c r="I4" s="34"/>
    </row>
    <row r="5" spans="1:9" ht="21" x14ac:dyDescent="0.45">
      <c r="A5" s="15"/>
      <c r="B5" s="15" t="s">
        <v>2</v>
      </c>
      <c r="C5" s="16"/>
      <c r="D5" s="16"/>
      <c r="E5" s="16"/>
      <c r="F5" s="16"/>
      <c r="G5" s="16"/>
      <c r="H5" s="16"/>
      <c r="I5" s="16"/>
    </row>
    <row r="6" spans="1:9" ht="21" x14ac:dyDescent="0.45">
      <c r="A6" s="6">
        <v>1</v>
      </c>
      <c r="B6" s="7" t="s">
        <v>3</v>
      </c>
      <c r="C6" s="8">
        <f>123+651+2</f>
        <v>776</v>
      </c>
      <c r="D6" s="8">
        <f>208+2046+22</f>
        <v>2276</v>
      </c>
      <c r="E6" s="8">
        <f>363+217+47+12</f>
        <v>639</v>
      </c>
      <c r="F6" s="8">
        <f>256+35+23+13</f>
        <v>327</v>
      </c>
      <c r="G6" s="8">
        <f>65+14</f>
        <v>79</v>
      </c>
      <c r="H6" s="8">
        <f>28</f>
        <v>28</v>
      </c>
      <c r="I6" s="19">
        <f t="shared" ref="I6:I11" si="0">SUM(C6:H6)</f>
        <v>4125</v>
      </c>
    </row>
    <row r="7" spans="1:9" ht="21" x14ac:dyDescent="0.45">
      <c r="A7" s="4">
        <v>2</v>
      </c>
      <c r="B7" s="5" t="s">
        <v>4</v>
      </c>
      <c r="C7" s="8">
        <f>147+889+2+8</f>
        <v>1046</v>
      </c>
      <c r="D7" s="8">
        <f>243+2734+24+12</f>
        <v>3013</v>
      </c>
      <c r="E7" s="8">
        <f>525+374+60+18+11</f>
        <v>988</v>
      </c>
      <c r="F7" s="8">
        <f>428+12+34+19+14</f>
        <v>507</v>
      </c>
      <c r="G7" s="8">
        <f>185+52</f>
        <v>237</v>
      </c>
      <c r="H7" s="8">
        <f>116+34</f>
        <v>150</v>
      </c>
      <c r="I7" s="17">
        <f t="shared" si="0"/>
        <v>5941</v>
      </c>
    </row>
    <row r="8" spans="1:9" ht="21" x14ac:dyDescent="0.45">
      <c r="A8" s="4">
        <v>3</v>
      </c>
      <c r="B8" s="5" t="s">
        <v>5</v>
      </c>
      <c r="C8" s="8">
        <f>352+1043+2+3</f>
        <v>1400</v>
      </c>
      <c r="D8" s="8">
        <f>590+3289+21</f>
        <v>3900</v>
      </c>
      <c r="E8" s="8">
        <f>554+402+154+20</f>
        <v>1130</v>
      </c>
      <c r="F8" s="8">
        <f>441+37+46+12</f>
        <v>536</v>
      </c>
      <c r="G8" s="8">
        <f>2+114+138</f>
        <v>254</v>
      </c>
      <c r="H8" s="8">
        <f>86+28</f>
        <v>114</v>
      </c>
      <c r="I8" s="17">
        <f t="shared" si="0"/>
        <v>7334</v>
      </c>
    </row>
    <row r="9" spans="1:9" ht="21" x14ac:dyDescent="0.45">
      <c r="A9" s="4">
        <v>4</v>
      </c>
      <c r="B9" s="5" t="s">
        <v>6</v>
      </c>
      <c r="C9" s="8">
        <f>67+644</f>
        <v>711</v>
      </c>
      <c r="D9" s="8">
        <f>81+2023</f>
        <v>2104</v>
      </c>
      <c r="E9" s="8">
        <f>220+333+4</f>
        <v>557</v>
      </c>
      <c r="F9" s="8">
        <f>303</f>
        <v>303</v>
      </c>
      <c r="G9" s="8">
        <f>101+151</f>
        <v>252</v>
      </c>
      <c r="H9" s="8">
        <f>102</f>
        <v>102</v>
      </c>
      <c r="I9" s="17">
        <f t="shared" si="0"/>
        <v>4029</v>
      </c>
    </row>
    <row r="10" spans="1:9" ht="21" x14ac:dyDescent="0.45">
      <c r="A10" s="4">
        <v>5</v>
      </c>
      <c r="B10" s="5" t="s">
        <v>7</v>
      </c>
      <c r="C10" s="8">
        <f>53+548+12</f>
        <v>613</v>
      </c>
      <c r="D10" s="8">
        <f>110+1699+16</f>
        <v>1825</v>
      </c>
      <c r="E10" s="8">
        <f>196+237+26+3</f>
        <v>462</v>
      </c>
      <c r="F10" s="8">
        <f>228+6+7</f>
        <v>241</v>
      </c>
      <c r="G10" s="8">
        <f>52+101</f>
        <v>153</v>
      </c>
      <c r="H10" s="8">
        <f>59+24</f>
        <v>83</v>
      </c>
      <c r="I10" s="17">
        <f t="shared" si="0"/>
        <v>3377</v>
      </c>
    </row>
    <row r="11" spans="1:9" ht="21" x14ac:dyDescent="0.45">
      <c r="A11" s="33" t="s">
        <v>24</v>
      </c>
      <c r="B11" s="33"/>
      <c r="C11" s="17">
        <f t="shared" ref="C11:H11" si="1">SUM(C6:C10)</f>
        <v>4546</v>
      </c>
      <c r="D11" s="17">
        <f t="shared" si="1"/>
        <v>13118</v>
      </c>
      <c r="E11" s="17">
        <f t="shared" si="1"/>
        <v>3776</v>
      </c>
      <c r="F11" s="17">
        <f t="shared" si="1"/>
        <v>1914</v>
      </c>
      <c r="G11" s="17">
        <f t="shared" si="1"/>
        <v>975</v>
      </c>
      <c r="H11" s="17">
        <f t="shared" si="1"/>
        <v>477</v>
      </c>
      <c r="I11" s="17">
        <f t="shared" si="0"/>
        <v>24806</v>
      </c>
    </row>
    <row r="12" spans="1:9" ht="21" x14ac:dyDescent="0.45">
      <c r="A12" s="15"/>
      <c r="B12" s="15" t="s">
        <v>8</v>
      </c>
      <c r="C12" s="18"/>
      <c r="D12" s="18"/>
      <c r="E12" s="18"/>
      <c r="F12" s="18"/>
      <c r="G12" s="18"/>
      <c r="H12" s="18"/>
      <c r="I12" s="18"/>
    </row>
    <row r="13" spans="1:9" ht="21" x14ac:dyDescent="0.45">
      <c r="A13" s="6">
        <v>6</v>
      </c>
      <c r="B13" s="7" t="s">
        <v>9</v>
      </c>
      <c r="C13" s="8">
        <f>248+819+10</f>
        <v>1077</v>
      </c>
      <c r="D13" s="8">
        <f>390+2547</f>
        <v>2937</v>
      </c>
      <c r="E13" s="8">
        <f>315+422+21</f>
        <v>758</v>
      </c>
      <c r="F13" s="8">
        <f>362</f>
        <v>362</v>
      </c>
      <c r="G13" s="8">
        <f>3+17+153</f>
        <v>173</v>
      </c>
      <c r="H13" s="8">
        <f>97+7</f>
        <v>104</v>
      </c>
      <c r="I13" s="19">
        <f>SUM(C13:H13)</f>
        <v>5411</v>
      </c>
    </row>
    <row r="14" spans="1:9" ht="21" x14ac:dyDescent="0.45">
      <c r="A14" s="4">
        <v>7</v>
      </c>
      <c r="B14" s="5" t="s">
        <v>10</v>
      </c>
      <c r="C14" s="8">
        <f>313+1071+2+9</f>
        <v>1395</v>
      </c>
      <c r="D14" s="8">
        <f>538+3328+18+7</f>
        <v>3891</v>
      </c>
      <c r="E14" s="8">
        <f>563+378+133+9+3</f>
        <v>1086</v>
      </c>
      <c r="F14" s="8">
        <f>474+5+53+6+5</f>
        <v>543</v>
      </c>
      <c r="G14" s="8">
        <f>7+41+207</f>
        <v>255</v>
      </c>
      <c r="H14" s="8">
        <f>131+23</f>
        <v>154</v>
      </c>
      <c r="I14" s="17">
        <f>SUM(C14:H14)</f>
        <v>7324</v>
      </c>
    </row>
    <row r="15" spans="1:9" ht="21" x14ac:dyDescent="0.45">
      <c r="A15" s="4">
        <v>8</v>
      </c>
      <c r="B15" s="5" t="s">
        <v>11</v>
      </c>
      <c r="C15" s="8">
        <f>119+597+3</f>
        <v>719</v>
      </c>
      <c r="D15" s="8">
        <f>238+1929+30</f>
        <v>2197</v>
      </c>
      <c r="E15" s="8">
        <f>272+251+46+14</f>
        <v>583</v>
      </c>
      <c r="F15" s="8">
        <f>268+3+7+11</f>
        <v>289</v>
      </c>
      <c r="G15" s="8">
        <f>12+144</f>
        <v>156</v>
      </c>
      <c r="H15" s="8">
        <f>71+4</f>
        <v>75</v>
      </c>
      <c r="I15" s="17">
        <f>SUM(C15:H15)</f>
        <v>4019</v>
      </c>
    </row>
    <row r="16" spans="1:9" ht="21" x14ac:dyDescent="0.45">
      <c r="A16" s="4">
        <v>9</v>
      </c>
      <c r="B16" s="5" t="s">
        <v>12</v>
      </c>
      <c r="C16" s="8">
        <f>53+462</f>
        <v>515</v>
      </c>
      <c r="D16" s="8">
        <f>87+1410</f>
        <v>1497</v>
      </c>
      <c r="E16" s="8">
        <f>155+160+32</f>
        <v>347</v>
      </c>
      <c r="F16" s="8">
        <f>147+8</f>
        <v>155</v>
      </c>
      <c r="G16" s="8">
        <f>33+3</f>
        <v>36</v>
      </c>
      <c r="H16" s="8">
        <f>21</f>
        <v>21</v>
      </c>
      <c r="I16" s="17">
        <f>SUM(C16:H16)</f>
        <v>2571</v>
      </c>
    </row>
    <row r="17" spans="1:9" ht="21" x14ac:dyDescent="0.45">
      <c r="A17" s="33" t="s">
        <v>22</v>
      </c>
      <c r="B17" s="33"/>
      <c r="C17" s="17">
        <f t="shared" ref="C17:H17" si="2">SUM(C13:C16)</f>
        <v>3706</v>
      </c>
      <c r="D17" s="17">
        <f t="shared" si="2"/>
        <v>10522</v>
      </c>
      <c r="E17" s="17">
        <f t="shared" si="2"/>
        <v>2774</v>
      </c>
      <c r="F17" s="17">
        <f t="shared" si="2"/>
        <v>1349</v>
      </c>
      <c r="G17" s="17">
        <f t="shared" si="2"/>
        <v>620</v>
      </c>
      <c r="H17" s="17">
        <f t="shared" si="2"/>
        <v>354</v>
      </c>
      <c r="I17" s="17">
        <f>SUM(C17:H17)</f>
        <v>19325</v>
      </c>
    </row>
    <row r="18" spans="1:9" ht="21" x14ac:dyDescent="0.45">
      <c r="A18" s="33" t="s">
        <v>23</v>
      </c>
      <c r="B18" s="33"/>
      <c r="C18" s="17">
        <f>C17+C11</f>
        <v>8252</v>
      </c>
      <c r="D18" s="17">
        <f t="shared" ref="D18:I18" si="3">D17+D11</f>
        <v>23640</v>
      </c>
      <c r="E18" s="17">
        <f t="shared" si="3"/>
        <v>6550</v>
      </c>
      <c r="F18" s="17">
        <f t="shared" si="3"/>
        <v>3263</v>
      </c>
      <c r="G18" s="17">
        <f t="shared" si="3"/>
        <v>1595</v>
      </c>
      <c r="H18" s="17">
        <f t="shared" si="3"/>
        <v>831</v>
      </c>
      <c r="I18" s="17">
        <f t="shared" si="3"/>
        <v>44131</v>
      </c>
    </row>
  </sheetData>
  <mergeCells count="7">
    <mergeCell ref="A18:B18"/>
    <mergeCell ref="A3:A4"/>
    <mergeCell ref="B3:B4"/>
    <mergeCell ref="C3:H3"/>
    <mergeCell ref="I3:I4"/>
    <mergeCell ref="A11:B11"/>
    <mergeCell ref="A17:B17"/>
  </mergeCells>
  <printOptions horizontalCentered="1"/>
  <pageMargins left="0.70866141732283472" right="0.70866141732283472" top="0.74803149606299213" bottom="0.74803149606299213" header="0.31496062992125984" footer="0.31496062992125984"/>
  <pageSetup paperSize="9" firstPageNumber="3" orientation="landscape" useFirstPageNumber="1" horizontalDpi="4294967293" verticalDpi="4294967293" r:id="rId1"/>
  <headerFooter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selection activeCell="C1" sqref="C1:I1048576"/>
    </sheetView>
  </sheetViews>
  <sheetFormatPr defaultRowHeight="14.25" x14ac:dyDescent="0.2"/>
  <cols>
    <col min="1" max="1" width="5.375" customWidth="1"/>
    <col min="2" max="2" width="18.75" customWidth="1"/>
    <col min="3" max="9" width="13.375" customWidth="1"/>
  </cols>
  <sheetData>
    <row r="1" spans="1:9" ht="23.25" x14ac:dyDescent="0.5">
      <c r="A1" s="13" t="s">
        <v>45</v>
      </c>
      <c r="B1" s="1"/>
      <c r="C1" s="1"/>
      <c r="D1" s="1"/>
      <c r="E1" s="1"/>
      <c r="F1" s="1"/>
      <c r="G1" s="1"/>
      <c r="H1" s="1"/>
      <c r="I1" s="10"/>
    </row>
    <row r="2" spans="1:9" ht="21" x14ac:dyDescent="0.45">
      <c r="A2" s="3"/>
      <c r="B2" s="1"/>
      <c r="C2" s="1"/>
      <c r="D2" s="1"/>
      <c r="E2" s="1"/>
      <c r="F2" s="1"/>
      <c r="G2" s="1"/>
      <c r="H2" s="1"/>
      <c r="I2" s="10"/>
    </row>
    <row r="3" spans="1:9" ht="21" x14ac:dyDescent="0.45">
      <c r="A3" s="34" t="s">
        <v>0</v>
      </c>
      <c r="B3" s="34" t="s">
        <v>1</v>
      </c>
      <c r="C3" s="33" t="s">
        <v>31</v>
      </c>
      <c r="D3" s="33"/>
      <c r="E3" s="33"/>
      <c r="F3" s="33"/>
      <c r="G3" s="33"/>
      <c r="H3" s="33"/>
      <c r="I3" s="34" t="s">
        <v>20</v>
      </c>
    </row>
    <row r="4" spans="1:9" ht="21" x14ac:dyDescent="0.2">
      <c r="A4" s="34"/>
      <c r="B4" s="34"/>
      <c r="C4" s="11" t="s">
        <v>25</v>
      </c>
      <c r="D4" s="11" t="s">
        <v>26</v>
      </c>
      <c r="E4" s="11" t="s">
        <v>27</v>
      </c>
      <c r="F4" s="11" t="s">
        <v>28</v>
      </c>
      <c r="G4" s="11" t="s">
        <v>29</v>
      </c>
      <c r="H4" s="11" t="s">
        <v>30</v>
      </c>
      <c r="I4" s="34"/>
    </row>
    <row r="5" spans="1:9" ht="21" x14ac:dyDescent="0.45">
      <c r="A5" s="15"/>
      <c r="B5" s="15" t="s">
        <v>2</v>
      </c>
      <c r="C5" s="16"/>
      <c r="D5" s="16"/>
      <c r="E5" s="16"/>
      <c r="F5" s="16"/>
      <c r="G5" s="16"/>
      <c r="H5" s="16"/>
      <c r="I5" s="16"/>
    </row>
    <row r="6" spans="1:9" ht="21" x14ac:dyDescent="0.45">
      <c r="A6" s="6">
        <v>1</v>
      </c>
      <c r="B6" s="7" t="s">
        <v>3</v>
      </c>
      <c r="C6" s="8">
        <f>12122+3878+11</f>
        <v>16011</v>
      </c>
      <c r="D6" s="8">
        <f>40232+7106+69+201+430+876</f>
        <v>48914</v>
      </c>
      <c r="E6" s="8">
        <f>7572+9433+1658+26+407+352+2063</f>
        <v>21511</v>
      </c>
      <c r="F6" s="8">
        <f>7813+870+658+29+323+450+3333</f>
        <v>13476</v>
      </c>
      <c r="G6" s="8">
        <f>3825+232</f>
        <v>4057</v>
      </c>
      <c r="H6" s="8">
        <f>1191</f>
        <v>1191</v>
      </c>
      <c r="I6" s="19">
        <f t="shared" ref="I6:I11" si="0">SUM(C6:H6)</f>
        <v>105160</v>
      </c>
    </row>
    <row r="7" spans="1:9" ht="21" x14ac:dyDescent="0.45">
      <c r="A7" s="4">
        <v>2</v>
      </c>
      <c r="B7" s="5" t="s">
        <v>4</v>
      </c>
      <c r="C7" s="8">
        <f>12445+4630+8+300</f>
        <v>17383</v>
      </c>
      <c r="D7" s="8">
        <f>41875+10359+173+191+578</f>
        <v>53176</v>
      </c>
      <c r="E7" s="8">
        <f>13319+10078+2353+116+301+3582</f>
        <v>29749</v>
      </c>
      <c r="F7" s="8">
        <f>14366+246+939+123+271+6981</f>
        <v>22926</v>
      </c>
      <c r="G7" s="8">
        <f>6778+1349</f>
        <v>8127</v>
      </c>
      <c r="H7" s="8">
        <f>932+4408</f>
        <v>5340</v>
      </c>
      <c r="I7" s="17">
        <f t="shared" si="0"/>
        <v>136701</v>
      </c>
    </row>
    <row r="8" spans="1:9" ht="21" x14ac:dyDescent="0.45">
      <c r="A8" s="4">
        <v>3</v>
      </c>
      <c r="B8" s="5" t="s">
        <v>5</v>
      </c>
      <c r="C8" s="8">
        <f>12510+10119+22+46</f>
        <v>22697</v>
      </c>
      <c r="D8" s="8">
        <f>45378+19660+115+276+757</f>
        <v>66186</v>
      </c>
      <c r="E8" s="8">
        <f>14448+10788+5256+97+303+5315</f>
        <v>36207</v>
      </c>
      <c r="F8" s="8">
        <f>15092+885+1613+67+133+8074</f>
        <v>25864</v>
      </c>
      <c r="G8" s="8">
        <f>4185+3141+44</f>
        <v>7370</v>
      </c>
      <c r="H8" s="8">
        <f>529+2227</f>
        <v>2756</v>
      </c>
      <c r="I8" s="17">
        <f t="shared" si="0"/>
        <v>161080</v>
      </c>
    </row>
    <row r="9" spans="1:9" ht="21" x14ac:dyDescent="0.45">
      <c r="A9" s="4">
        <v>4</v>
      </c>
      <c r="B9" s="5" t="s">
        <v>6</v>
      </c>
      <c r="C9" s="8">
        <f>8455+2117</f>
        <v>10572</v>
      </c>
      <c r="D9" s="8">
        <f>29912+2147+287</f>
        <v>32346</v>
      </c>
      <c r="E9" s="8">
        <f>11473+4211+136+2769</f>
        <v>18589</v>
      </c>
      <c r="F9" s="8">
        <f>10006+4700</f>
        <v>14706</v>
      </c>
      <c r="G9" s="8">
        <f>3846+121</f>
        <v>3967</v>
      </c>
      <c r="H9" s="8">
        <f>2311</f>
        <v>2311</v>
      </c>
      <c r="I9" s="17">
        <f t="shared" si="0"/>
        <v>82491</v>
      </c>
    </row>
    <row r="10" spans="1:9" ht="21" x14ac:dyDescent="0.45">
      <c r="A10" s="4">
        <v>5</v>
      </c>
      <c r="B10" s="5" t="s">
        <v>7</v>
      </c>
      <c r="C10" s="8">
        <f>5926+1418</f>
        <v>7344</v>
      </c>
      <c r="D10" s="8">
        <f>20157+3461+648</f>
        <v>24266</v>
      </c>
      <c r="E10" s="8">
        <f>8375+3562+828+78+2392</f>
        <v>15235</v>
      </c>
      <c r="F10" s="8">
        <f>7351+116+196+4618</f>
        <v>12281</v>
      </c>
      <c r="G10" s="8">
        <f>27+1430+5082+38</f>
        <v>6577</v>
      </c>
      <c r="H10" s="8">
        <f>700+2640</f>
        <v>3340</v>
      </c>
      <c r="I10" s="17">
        <f t="shared" si="0"/>
        <v>69043</v>
      </c>
    </row>
    <row r="11" spans="1:9" ht="21" x14ac:dyDescent="0.45">
      <c r="A11" s="33" t="s">
        <v>24</v>
      </c>
      <c r="B11" s="33"/>
      <c r="C11" s="17">
        <f t="shared" ref="C11:H11" si="1">SUM(C6:C10)</f>
        <v>74007</v>
      </c>
      <c r="D11" s="17">
        <f t="shared" si="1"/>
        <v>224888</v>
      </c>
      <c r="E11" s="17">
        <f t="shared" si="1"/>
        <v>121291</v>
      </c>
      <c r="F11" s="17">
        <f t="shared" si="1"/>
        <v>89253</v>
      </c>
      <c r="G11" s="17">
        <f t="shared" si="1"/>
        <v>30098</v>
      </c>
      <c r="H11" s="17">
        <f t="shared" si="1"/>
        <v>14938</v>
      </c>
      <c r="I11" s="17">
        <f t="shared" si="0"/>
        <v>554475</v>
      </c>
    </row>
    <row r="12" spans="1:9" ht="21" x14ac:dyDescent="0.45">
      <c r="A12" s="15"/>
      <c r="B12" s="15" t="s">
        <v>8</v>
      </c>
      <c r="C12" s="18"/>
      <c r="D12" s="18"/>
      <c r="E12" s="18"/>
      <c r="F12" s="18"/>
      <c r="G12" s="18"/>
      <c r="H12" s="18"/>
      <c r="I12" s="18"/>
    </row>
    <row r="13" spans="1:9" ht="21" x14ac:dyDescent="0.45">
      <c r="A13" s="6">
        <v>6</v>
      </c>
      <c r="B13" s="7" t="s">
        <v>9</v>
      </c>
      <c r="C13" s="8">
        <f>11388+7139+173</f>
        <v>18700</v>
      </c>
      <c r="D13" s="8">
        <f>38685+12337+846</f>
        <v>51868</v>
      </c>
      <c r="E13" s="8">
        <f>15341+6504+667+6459</f>
        <v>28971</v>
      </c>
      <c r="F13" s="8">
        <f>12883+9731</f>
        <v>22614</v>
      </c>
      <c r="G13" s="8">
        <f>157+359+3515+282</f>
        <v>4313</v>
      </c>
      <c r="H13" s="8">
        <f>177+2178</f>
        <v>2355</v>
      </c>
      <c r="I13" s="19">
        <f>SUM(C13:H13)</f>
        <v>128821</v>
      </c>
    </row>
    <row r="14" spans="1:9" ht="21" x14ac:dyDescent="0.45">
      <c r="A14" s="4">
        <v>7</v>
      </c>
      <c r="B14" s="5" t="s">
        <v>10</v>
      </c>
      <c r="C14" s="8">
        <f>13398+8954+20+242</f>
        <v>22614</v>
      </c>
      <c r="D14" s="8">
        <f>18912+45974+222+185+586</f>
        <v>65879</v>
      </c>
      <c r="E14" s="8">
        <f>20111+7621+5228+100+74+6170</f>
        <v>39304</v>
      </c>
      <c r="F14" s="8">
        <f>17020+58+2135+69+83+9950</f>
        <v>29315</v>
      </c>
      <c r="G14" s="8">
        <f>314+1055+6787</f>
        <v>8156</v>
      </c>
      <c r="H14" s="8">
        <f>372+3836</f>
        <v>4208</v>
      </c>
      <c r="I14" s="17">
        <f>SUM(C14:H14)</f>
        <v>169476</v>
      </c>
    </row>
    <row r="15" spans="1:9" ht="21" x14ac:dyDescent="0.45">
      <c r="A15" s="4">
        <v>8</v>
      </c>
      <c r="B15" s="5" t="s">
        <v>11</v>
      </c>
      <c r="C15" s="8">
        <f>7009+3498+21</f>
        <v>10528</v>
      </c>
      <c r="D15" s="8">
        <f>24525+7672+197+653</f>
        <v>33047</v>
      </c>
      <c r="E15" s="8">
        <f>9997+4530+1290+93+2734</f>
        <v>18644</v>
      </c>
      <c r="F15" s="8">
        <f>8825+45+201+49+4733</f>
        <v>13853</v>
      </c>
      <c r="G15" s="8">
        <f>342+2478+86</f>
        <v>2906</v>
      </c>
      <c r="H15" s="8">
        <f>88+1226</f>
        <v>1314</v>
      </c>
      <c r="I15" s="17">
        <f>SUM(C15:H15)</f>
        <v>80292</v>
      </c>
    </row>
    <row r="16" spans="1:9" ht="21" x14ac:dyDescent="0.45">
      <c r="A16" s="4">
        <v>9</v>
      </c>
      <c r="B16" s="5" t="s">
        <v>12</v>
      </c>
      <c r="C16" s="8">
        <f>5892+1252</f>
        <v>7144</v>
      </c>
      <c r="D16" s="8">
        <f>20223+2441+170</f>
        <v>22834</v>
      </c>
      <c r="E16" s="8">
        <f>4690+3004+1366+2204</f>
        <v>11264</v>
      </c>
      <c r="F16" s="8">
        <f>3912+267+3027</f>
        <v>7206</v>
      </c>
      <c r="G16" s="8">
        <f>106+2081+48</f>
        <v>2235</v>
      </c>
      <c r="H16" s="8">
        <f>1117</f>
        <v>1117</v>
      </c>
      <c r="I16" s="17">
        <f>SUM(C16:H16)</f>
        <v>51800</v>
      </c>
    </row>
    <row r="17" spans="1:9" ht="21" x14ac:dyDescent="0.45">
      <c r="A17" s="33" t="s">
        <v>22</v>
      </c>
      <c r="B17" s="33"/>
      <c r="C17" s="17">
        <f t="shared" ref="C17:H17" si="2">SUM(C13:C16)</f>
        <v>58986</v>
      </c>
      <c r="D17" s="17">
        <f t="shared" si="2"/>
        <v>173628</v>
      </c>
      <c r="E17" s="17">
        <f t="shared" si="2"/>
        <v>98183</v>
      </c>
      <c r="F17" s="17">
        <f t="shared" si="2"/>
        <v>72988</v>
      </c>
      <c r="G17" s="17">
        <f t="shared" si="2"/>
        <v>17610</v>
      </c>
      <c r="H17" s="17">
        <f t="shared" si="2"/>
        <v>8994</v>
      </c>
      <c r="I17" s="17">
        <f>SUM(C17:H17)</f>
        <v>430389</v>
      </c>
    </row>
    <row r="18" spans="1:9" ht="21" x14ac:dyDescent="0.45">
      <c r="A18" s="33" t="s">
        <v>23</v>
      </c>
      <c r="B18" s="33"/>
      <c r="C18" s="17">
        <f>C17+C11</f>
        <v>132993</v>
      </c>
      <c r="D18" s="17">
        <f t="shared" ref="D18:I18" si="3">D17+D11</f>
        <v>398516</v>
      </c>
      <c r="E18" s="17">
        <f t="shared" si="3"/>
        <v>219474</v>
      </c>
      <c r="F18" s="17">
        <f t="shared" si="3"/>
        <v>162241</v>
      </c>
      <c r="G18" s="17">
        <f t="shared" si="3"/>
        <v>47708</v>
      </c>
      <c r="H18" s="17">
        <f t="shared" si="3"/>
        <v>23932</v>
      </c>
      <c r="I18" s="17">
        <f t="shared" si="3"/>
        <v>984864</v>
      </c>
    </row>
  </sheetData>
  <mergeCells count="7">
    <mergeCell ref="A18:B18"/>
    <mergeCell ref="A3:A4"/>
    <mergeCell ref="B3:B4"/>
    <mergeCell ref="C3:H3"/>
    <mergeCell ref="I3:I4"/>
    <mergeCell ref="A11:B11"/>
    <mergeCell ref="A17:B17"/>
  </mergeCells>
  <printOptions horizontalCentered="1"/>
  <pageMargins left="0.70866141732283472" right="0.70866141732283472" top="0.74803149606299213" bottom="0.74803149606299213" header="0.31496062992125984" footer="0.31496062992125984"/>
  <pageSetup paperSize="9" firstPageNumber="4" orientation="landscape" useFirstPageNumber="1" horizontalDpi="4294967293" verticalDpi="4294967293" r:id="rId1"/>
  <headerFooter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workbookViewId="0">
      <selection activeCell="K3" sqref="K3:L4"/>
    </sheetView>
  </sheetViews>
  <sheetFormatPr defaultRowHeight="14.25" x14ac:dyDescent="0.2"/>
  <cols>
    <col min="1" max="1" width="5.375" customWidth="1"/>
    <col min="2" max="2" width="18.75" customWidth="1"/>
    <col min="3" max="9" width="9.125" customWidth="1"/>
    <col min="10" max="10" width="10.125" customWidth="1"/>
  </cols>
  <sheetData>
    <row r="1" spans="1:12" ht="23.25" x14ac:dyDescent="0.5">
      <c r="A1" s="13" t="s">
        <v>47</v>
      </c>
      <c r="B1" s="1"/>
      <c r="C1" s="1"/>
      <c r="D1" s="1"/>
      <c r="E1" s="1"/>
      <c r="F1" s="1"/>
      <c r="G1" s="1"/>
      <c r="H1" s="1"/>
      <c r="I1" s="1"/>
      <c r="J1" s="10"/>
    </row>
    <row r="2" spans="1:12" ht="21" x14ac:dyDescent="0.45">
      <c r="A2" s="3"/>
      <c r="B2" s="1"/>
      <c r="C2" s="1"/>
      <c r="D2" s="1"/>
      <c r="E2" s="1"/>
      <c r="F2" s="1"/>
      <c r="G2" s="1"/>
      <c r="H2" s="1"/>
      <c r="I2" s="1"/>
      <c r="J2" s="10"/>
    </row>
    <row r="3" spans="1:12" ht="21" x14ac:dyDescent="0.45">
      <c r="A3" s="34" t="s">
        <v>0</v>
      </c>
      <c r="B3" s="34" t="s">
        <v>1</v>
      </c>
      <c r="C3" s="33" t="s">
        <v>21</v>
      </c>
      <c r="D3" s="33"/>
      <c r="E3" s="33"/>
      <c r="F3" s="33"/>
      <c r="G3" s="33"/>
      <c r="H3" s="33"/>
      <c r="I3" s="33"/>
      <c r="J3" s="34" t="s">
        <v>20</v>
      </c>
      <c r="K3" s="35" t="s">
        <v>35</v>
      </c>
      <c r="L3" s="22" t="s">
        <v>33</v>
      </c>
    </row>
    <row r="4" spans="1:12" ht="21" x14ac:dyDescent="0.2">
      <c r="A4" s="34"/>
      <c r="B4" s="34"/>
      <c r="C4" s="21" t="s">
        <v>13</v>
      </c>
      <c r="D4" s="21" t="s">
        <v>14</v>
      </c>
      <c r="E4" s="21" t="s">
        <v>15</v>
      </c>
      <c r="F4" s="21" t="s">
        <v>16</v>
      </c>
      <c r="G4" s="21" t="s">
        <v>17</v>
      </c>
      <c r="H4" s="21" t="s">
        <v>18</v>
      </c>
      <c r="I4" s="21" t="s">
        <v>19</v>
      </c>
      <c r="J4" s="34"/>
      <c r="K4" s="36"/>
      <c r="L4" s="25" t="s">
        <v>34</v>
      </c>
    </row>
    <row r="5" spans="1:12" ht="21" x14ac:dyDescent="0.45">
      <c r="A5" s="15"/>
      <c r="B5" s="15" t="s">
        <v>2</v>
      </c>
      <c r="C5" s="16"/>
      <c r="D5" s="16"/>
      <c r="E5" s="16"/>
      <c r="F5" s="16"/>
      <c r="G5" s="16"/>
      <c r="H5" s="16"/>
      <c r="I5" s="16"/>
      <c r="J5" s="16"/>
      <c r="K5" s="24"/>
      <c r="L5" s="24"/>
    </row>
    <row r="6" spans="1:12" ht="21" x14ac:dyDescent="0.45">
      <c r="A6" s="6">
        <v>1</v>
      </c>
      <c r="B6" s="7" t="s">
        <v>3</v>
      </c>
      <c r="C6" s="8">
        <v>233</v>
      </c>
      <c r="D6" s="8">
        <v>20</v>
      </c>
      <c r="E6" s="8">
        <v>21</v>
      </c>
      <c r="F6" s="8">
        <v>2</v>
      </c>
      <c r="G6" s="8">
        <v>4</v>
      </c>
      <c r="H6" s="8">
        <v>0</v>
      </c>
      <c r="I6" s="8">
        <v>9</v>
      </c>
      <c r="J6" s="19">
        <f t="shared" ref="J6:J11" si="0">SUM(C6:I6)</f>
        <v>289</v>
      </c>
      <c r="K6" s="19">
        <v>5501</v>
      </c>
      <c r="L6" s="26" t="str">
        <f>TEXT(K6/J6,"0")&amp;" : 1"</f>
        <v>19 : 1</v>
      </c>
    </row>
    <row r="7" spans="1:12" ht="21" x14ac:dyDescent="0.45">
      <c r="A7" s="4">
        <v>2</v>
      </c>
      <c r="B7" s="5" t="s">
        <v>4</v>
      </c>
      <c r="C7" s="9">
        <v>435</v>
      </c>
      <c r="D7" s="9">
        <v>39</v>
      </c>
      <c r="E7" s="9">
        <v>22</v>
      </c>
      <c r="F7" s="9">
        <v>2</v>
      </c>
      <c r="G7" s="9">
        <v>6</v>
      </c>
      <c r="H7" s="9">
        <v>2</v>
      </c>
      <c r="I7" s="9">
        <v>9</v>
      </c>
      <c r="J7" s="17">
        <f t="shared" si="0"/>
        <v>515</v>
      </c>
      <c r="K7" s="17">
        <v>7611</v>
      </c>
      <c r="L7" s="20" t="str">
        <f t="shared" ref="L7:L11" si="1">TEXT(K7/J7,"0")&amp;" : 1"</f>
        <v>15 : 1</v>
      </c>
    </row>
    <row r="8" spans="1:12" ht="21" x14ac:dyDescent="0.45">
      <c r="A8" s="4">
        <v>3</v>
      </c>
      <c r="B8" s="5" t="s">
        <v>5</v>
      </c>
      <c r="C8" s="9">
        <v>510</v>
      </c>
      <c r="D8" s="9">
        <v>39</v>
      </c>
      <c r="E8" s="9">
        <v>59</v>
      </c>
      <c r="F8" s="9">
        <v>2</v>
      </c>
      <c r="G8" s="9">
        <v>5</v>
      </c>
      <c r="H8" s="9">
        <v>1</v>
      </c>
      <c r="I8" s="9">
        <v>11</v>
      </c>
      <c r="J8" s="17">
        <f t="shared" si="0"/>
        <v>627</v>
      </c>
      <c r="K8" s="17">
        <v>8990</v>
      </c>
      <c r="L8" s="20" t="str">
        <f t="shared" si="1"/>
        <v>14 : 1</v>
      </c>
    </row>
    <row r="9" spans="1:12" ht="21" x14ac:dyDescent="0.45">
      <c r="A9" s="4">
        <v>4</v>
      </c>
      <c r="B9" s="5" t="s">
        <v>6</v>
      </c>
      <c r="C9" s="9">
        <v>313</v>
      </c>
      <c r="D9" s="9">
        <v>27</v>
      </c>
      <c r="E9" s="9">
        <v>11</v>
      </c>
      <c r="F9" s="9">
        <v>0</v>
      </c>
      <c r="G9" s="9">
        <v>6</v>
      </c>
      <c r="H9" s="9">
        <v>0</v>
      </c>
      <c r="I9" s="9">
        <v>9</v>
      </c>
      <c r="J9" s="17">
        <f t="shared" si="0"/>
        <v>366</v>
      </c>
      <c r="K9" s="17">
        <v>4955</v>
      </c>
      <c r="L9" s="20" t="str">
        <f t="shared" si="1"/>
        <v>14 : 1</v>
      </c>
    </row>
    <row r="10" spans="1:12" ht="21" x14ac:dyDescent="0.45">
      <c r="A10" s="4">
        <v>5</v>
      </c>
      <c r="B10" s="5" t="s">
        <v>7</v>
      </c>
      <c r="C10" s="9">
        <v>279</v>
      </c>
      <c r="D10" s="9">
        <v>19</v>
      </c>
      <c r="E10" s="9">
        <v>12</v>
      </c>
      <c r="F10" s="9">
        <v>0</v>
      </c>
      <c r="G10" s="9">
        <v>4</v>
      </c>
      <c r="H10" s="9">
        <v>1</v>
      </c>
      <c r="I10" s="9">
        <v>10</v>
      </c>
      <c r="J10" s="17">
        <f t="shared" si="0"/>
        <v>325</v>
      </c>
      <c r="K10" s="17">
        <v>3630</v>
      </c>
      <c r="L10" s="20" t="str">
        <f t="shared" si="1"/>
        <v>11 : 1</v>
      </c>
    </row>
    <row r="11" spans="1:12" ht="21" x14ac:dyDescent="0.45">
      <c r="A11" s="33" t="s">
        <v>24</v>
      </c>
      <c r="B11" s="33"/>
      <c r="C11" s="17">
        <f t="shared" ref="C11:I11" si="2">SUM(C6:C10)</f>
        <v>1770</v>
      </c>
      <c r="D11" s="17">
        <f t="shared" si="2"/>
        <v>144</v>
      </c>
      <c r="E11" s="17">
        <f t="shared" si="2"/>
        <v>125</v>
      </c>
      <c r="F11" s="17">
        <f t="shared" si="2"/>
        <v>6</v>
      </c>
      <c r="G11" s="17">
        <f t="shared" si="2"/>
        <v>25</v>
      </c>
      <c r="H11" s="17">
        <f t="shared" si="2"/>
        <v>4</v>
      </c>
      <c r="I11" s="17">
        <f t="shared" si="2"/>
        <v>48</v>
      </c>
      <c r="J11" s="17">
        <f t="shared" si="0"/>
        <v>2122</v>
      </c>
      <c r="K11" s="17">
        <v>30687</v>
      </c>
      <c r="L11" s="20" t="str">
        <f t="shared" si="1"/>
        <v>14 : 1</v>
      </c>
    </row>
    <row r="12" spans="1:12" ht="21" x14ac:dyDescent="0.45">
      <c r="A12" s="15"/>
      <c r="B12" s="15" t="s">
        <v>8</v>
      </c>
      <c r="C12" s="18"/>
      <c r="D12" s="18"/>
      <c r="E12" s="18"/>
      <c r="F12" s="18"/>
      <c r="G12" s="18"/>
      <c r="H12" s="18"/>
      <c r="I12" s="18"/>
      <c r="J12" s="18"/>
      <c r="K12" s="18"/>
      <c r="L12" s="16"/>
    </row>
    <row r="13" spans="1:12" ht="21" x14ac:dyDescent="0.45">
      <c r="A13" s="6">
        <v>6</v>
      </c>
      <c r="B13" s="7" t="s">
        <v>9</v>
      </c>
      <c r="C13" s="8">
        <v>396</v>
      </c>
      <c r="D13" s="8">
        <v>32</v>
      </c>
      <c r="E13" s="8">
        <v>37</v>
      </c>
      <c r="F13" s="8">
        <v>0</v>
      </c>
      <c r="G13" s="8">
        <v>4</v>
      </c>
      <c r="H13" s="8">
        <v>1</v>
      </c>
      <c r="I13" s="8">
        <v>11</v>
      </c>
      <c r="J13" s="19">
        <f>SUM(C13:I13)</f>
        <v>481</v>
      </c>
      <c r="K13" s="19">
        <v>6785</v>
      </c>
      <c r="L13" s="26" t="str">
        <f>TEXT(K13/J13,"0")&amp;" : 1"</f>
        <v>14 : 1</v>
      </c>
    </row>
    <row r="14" spans="1:12" ht="21" x14ac:dyDescent="0.45">
      <c r="A14" s="4">
        <v>7</v>
      </c>
      <c r="B14" s="5" t="s">
        <v>10</v>
      </c>
      <c r="C14" s="8">
        <v>524</v>
      </c>
      <c r="D14" s="8">
        <v>37</v>
      </c>
      <c r="E14" s="8">
        <v>61</v>
      </c>
      <c r="F14" s="8">
        <v>1</v>
      </c>
      <c r="G14" s="8">
        <v>7</v>
      </c>
      <c r="H14" s="8">
        <v>1</v>
      </c>
      <c r="I14" s="8">
        <v>16</v>
      </c>
      <c r="J14" s="17">
        <f>SUM(C14:I14)</f>
        <v>647</v>
      </c>
      <c r="K14" s="17">
        <v>8532</v>
      </c>
      <c r="L14" s="20" t="str">
        <f t="shared" ref="L14:L18" si="3">TEXT(K14/J14,"0")&amp;" : 1"</f>
        <v>13 : 1</v>
      </c>
    </row>
    <row r="15" spans="1:12" ht="21" x14ac:dyDescent="0.45">
      <c r="A15" s="4">
        <v>8</v>
      </c>
      <c r="B15" s="5" t="s">
        <v>11</v>
      </c>
      <c r="C15" s="8">
        <v>318</v>
      </c>
      <c r="D15" s="8">
        <v>30</v>
      </c>
      <c r="E15" s="8">
        <v>22</v>
      </c>
      <c r="F15" s="8">
        <v>1</v>
      </c>
      <c r="G15" s="8">
        <v>3</v>
      </c>
      <c r="H15" s="8">
        <v>0</v>
      </c>
      <c r="I15" s="8">
        <v>12</v>
      </c>
      <c r="J15" s="17">
        <f>SUM(C15:I15)</f>
        <v>386</v>
      </c>
      <c r="K15" s="17">
        <v>4837</v>
      </c>
      <c r="L15" s="20" t="str">
        <f t="shared" si="3"/>
        <v>13 : 1</v>
      </c>
    </row>
    <row r="16" spans="1:12" ht="21" x14ac:dyDescent="0.45">
      <c r="A16" s="4">
        <v>9</v>
      </c>
      <c r="B16" s="5" t="s">
        <v>12</v>
      </c>
      <c r="C16" s="8">
        <v>216</v>
      </c>
      <c r="D16" s="8">
        <v>21</v>
      </c>
      <c r="E16" s="8">
        <v>13</v>
      </c>
      <c r="F16" s="8">
        <v>0</v>
      </c>
      <c r="G16" s="8">
        <v>3</v>
      </c>
      <c r="H16" s="8">
        <v>0</v>
      </c>
      <c r="I16" s="8">
        <v>8</v>
      </c>
      <c r="J16" s="17">
        <f>SUM(C16:I16)</f>
        <v>261</v>
      </c>
      <c r="K16" s="17">
        <v>3104</v>
      </c>
      <c r="L16" s="20" t="str">
        <f t="shared" si="3"/>
        <v>12 : 1</v>
      </c>
    </row>
    <row r="17" spans="1:12" ht="21" x14ac:dyDescent="0.45">
      <c r="A17" s="33" t="s">
        <v>22</v>
      </c>
      <c r="B17" s="33"/>
      <c r="C17" s="17">
        <f t="shared" ref="C17:I17" si="4">SUM(C13:C16)</f>
        <v>1454</v>
      </c>
      <c r="D17" s="17">
        <f t="shared" si="4"/>
        <v>120</v>
      </c>
      <c r="E17" s="17">
        <f t="shared" si="4"/>
        <v>133</v>
      </c>
      <c r="F17" s="17">
        <f t="shared" si="4"/>
        <v>2</v>
      </c>
      <c r="G17" s="17">
        <f t="shared" si="4"/>
        <v>17</v>
      </c>
      <c r="H17" s="17">
        <f t="shared" si="4"/>
        <v>2</v>
      </c>
      <c r="I17" s="17">
        <f t="shared" si="4"/>
        <v>47</v>
      </c>
      <c r="J17" s="17">
        <f>SUM(C17:I17)</f>
        <v>1775</v>
      </c>
      <c r="K17" s="17">
        <v>23258</v>
      </c>
      <c r="L17" s="20" t="str">
        <f t="shared" si="3"/>
        <v>13 : 1</v>
      </c>
    </row>
    <row r="18" spans="1:12" ht="21" x14ac:dyDescent="0.45">
      <c r="A18" s="33" t="s">
        <v>23</v>
      </c>
      <c r="B18" s="33"/>
      <c r="C18" s="17">
        <f>C17+C11</f>
        <v>3224</v>
      </c>
      <c r="D18" s="17">
        <f t="shared" ref="D18:J18" si="5">D17+D11</f>
        <v>264</v>
      </c>
      <c r="E18" s="17">
        <f t="shared" si="5"/>
        <v>258</v>
      </c>
      <c r="F18" s="17">
        <f t="shared" si="5"/>
        <v>8</v>
      </c>
      <c r="G18" s="17">
        <f t="shared" si="5"/>
        <v>42</v>
      </c>
      <c r="H18" s="17">
        <f t="shared" si="5"/>
        <v>6</v>
      </c>
      <c r="I18" s="17">
        <f t="shared" si="5"/>
        <v>95</v>
      </c>
      <c r="J18" s="17">
        <f t="shared" si="5"/>
        <v>3897</v>
      </c>
      <c r="K18" s="17">
        <v>53945</v>
      </c>
      <c r="L18" s="20" t="str">
        <f t="shared" si="3"/>
        <v>14 : 1</v>
      </c>
    </row>
  </sheetData>
  <mergeCells count="8">
    <mergeCell ref="A18:B18"/>
    <mergeCell ref="K3:K4"/>
    <mergeCell ref="A3:A4"/>
    <mergeCell ref="B3:B4"/>
    <mergeCell ref="C3:I3"/>
    <mergeCell ref="J3:J4"/>
    <mergeCell ref="A11:B11"/>
    <mergeCell ref="A17:B17"/>
  </mergeCells>
  <printOptions horizontalCentered="1"/>
  <pageMargins left="0.70866141732283472" right="0.70866141732283472" top="0.74803149606299213" bottom="0.74803149606299213" header="0.31496062992125984" footer="0.31496062992125984"/>
  <pageSetup paperSize="9" firstPageNumber="5" orientation="landscape" useFirstPageNumber="1" horizontalDpi="4294967293" verticalDpi="4294967293" r:id="rId1"/>
  <headerFooter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workbookViewId="0"/>
  </sheetViews>
  <sheetFormatPr defaultRowHeight="14.25" x14ac:dyDescent="0.2"/>
  <cols>
    <col min="1" max="1" width="5.375" customWidth="1"/>
    <col min="2" max="2" width="18.75" customWidth="1"/>
    <col min="3" max="8" width="10.875" customWidth="1"/>
    <col min="9" max="9" width="9.375" customWidth="1"/>
  </cols>
  <sheetData>
    <row r="1" spans="1:11" ht="23.25" x14ac:dyDescent="0.5">
      <c r="A1" s="13" t="s">
        <v>48</v>
      </c>
      <c r="B1" s="1"/>
      <c r="C1" s="1"/>
      <c r="D1" s="1"/>
      <c r="E1" s="1"/>
      <c r="F1" s="1"/>
      <c r="G1" s="1"/>
      <c r="H1" s="1"/>
      <c r="I1" s="10"/>
    </row>
    <row r="2" spans="1:11" ht="21" x14ac:dyDescent="0.45">
      <c r="A2" s="3"/>
      <c r="B2" s="1"/>
      <c r="C2" s="1"/>
      <c r="D2" s="1"/>
      <c r="E2" s="1"/>
      <c r="F2" s="1"/>
      <c r="G2" s="1"/>
      <c r="H2" s="1"/>
      <c r="I2" s="10"/>
    </row>
    <row r="3" spans="1:11" ht="21" x14ac:dyDescent="0.45">
      <c r="A3" s="34" t="s">
        <v>0</v>
      </c>
      <c r="B3" s="34" t="s">
        <v>1</v>
      </c>
      <c r="C3" s="33" t="s">
        <v>37</v>
      </c>
      <c r="D3" s="33"/>
      <c r="E3" s="33"/>
      <c r="F3" s="33"/>
      <c r="G3" s="33"/>
      <c r="H3" s="33"/>
      <c r="I3" s="34" t="s">
        <v>20</v>
      </c>
      <c r="J3" s="34" t="s">
        <v>35</v>
      </c>
      <c r="K3" s="22" t="s">
        <v>33</v>
      </c>
    </row>
    <row r="4" spans="1:11" ht="21" x14ac:dyDescent="0.2">
      <c r="A4" s="34"/>
      <c r="B4" s="34"/>
      <c r="C4" s="21" t="s">
        <v>25</v>
      </c>
      <c r="D4" s="21" t="s">
        <v>26</v>
      </c>
      <c r="E4" s="21" t="s">
        <v>27</v>
      </c>
      <c r="F4" s="21" t="s">
        <v>28</v>
      </c>
      <c r="G4" s="21" t="s">
        <v>29</v>
      </c>
      <c r="H4" s="21" t="s">
        <v>30</v>
      </c>
      <c r="I4" s="34"/>
      <c r="J4" s="34"/>
      <c r="K4" s="23" t="s">
        <v>36</v>
      </c>
    </row>
    <row r="5" spans="1:11" ht="21" x14ac:dyDescent="0.45">
      <c r="A5" s="15"/>
      <c r="B5" s="15" t="s">
        <v>2</v>
      </c>
      <c r="C5" s="16"/>
      <c r="D5" s="16"/>
      <c r="E5" s="16"/>
      <c r="F5" s="16"/>
      <c r="G5" s="16"/>
      <c r="H5" s="16"/>
      <c r="I5" s="16"/>
      <c r="J5" s="27"/>
      <c r="K5" s="27"/>
    </row>
    <row r="6" spans="1:11" ht="21" x14ac:dyDescent="0.45">
      <c r="A6" s="6">
        <v>1</v>
      </c>
      <c r="B6" s="7" t="s">
        <v>3</v>
      </c>
      <c r="C6" s="8">
        <f>123+651+2</f>
        <v>776</v>
      </c>
      <c r="D6" s="8">
        <f>208+2046+22</f>
        <v>2276</v>
      </c>
      <c r="E6" s="8">
        <f>363+217+47+12</f>
        <v>639</v>
      </c>
      <c r="F6" s="8">
        <f>256+35+23+13</f>
        <v>327</v>
      </c>
      <c r="G6" s="8">
        <f>65+14</f>
        <v>79</v>
      </c>
      <c r="H6" s="8">
        <f>28</f>
        <v>28</v>
      </c>
      <c r="I6" s="19">
        <f t="shared" ref="I6:I11" si="0">SUM(C6:H6)</f>
        <v>4125</v>
      </c>
      <c r="J6" s="28">
        <v>5501</v>
      </c>
      <c r="K6" s="23" t="str">
        <f>TEXT(J6/I6,"0")&amp;" : 1"</f>
        <v>1 : 1</v>
      </c>
    </row>
    <row r="7" spans="1:11" ht="21" x14ac:dyDescent="0.45">
      <c r="A7" s="4">
        <v>2</v>
      </c>
      <c r="B7" s="5" t="s">
        <v>4</v>
      </c>
      <c r="C7" s="8">
        <f>147+889+2+8</f>
        <v>1046</v>
      </c>
      <c r="D7" s="8">
        <f>243+2734+24+12</f>
        <v>3013</v>
      </c>
      <c r="E7" s="8">
        <f>525+374+60+18+11</f>
        <v>988</v>
      </c>
      <c r="F7" s="8">
        <f>428+12+34+19+14</f>
        <v>507</v>
      </c>
      <c r="G7" s="8">
        <f>185+52</f>
        <v>237</v>
      </c>
      <c r="H7" s="8">
        <f>116+34</f>
        <v>150</v>
      </c>
      <c r="I7" s="17">
        <f t="shared" si="0"/>
        <v>5941</v>
      </c>
      <c r="J7" s="29">
        <v>7611</v>
      </c>
      <c r="K7" s="23" t="str">
        <f t="shared" ref="K7:K11" si="1">TEXT(J7/I7,"0")&amp;" : 1"</f>
        <v>1 : 1</v>
      </c>
    </row>
    <row r="8" spans="1:11" ht="21" x14ac:dyDescent="0.45">
      <c r="A8" s="4">
        <v>3</v>
      </c>
      <c r="B8" s="5" t="s">
        <v>5</v>
      </c>
      <c r="C8" s="8">
        <f>352+1043+2+3</f>
        <v>1400</v>
      </c>
      <c r="D8" s="8">
        <f>590+3289+21</f>
        <v>3900</v>
      </c>
      <c r="E8" s="8">
        <f>554+402+154+20</f>
        <v>1130</v>
      </c>
      <c r="F8" s="8">
        <f>441+37+46+12</f>
        <v>536</v>
      </c>
      <c r="G8" s="8">
        <f>2+114+138</f>
        <v>254</v>
      </c>
      <c r="H8" s="8">
        <f>86+28</f>
        <v>114</v>
      </c>
      <c r="I8" s="17">
        <f t="shared" si="0"/>
        <v>7334</v>
      </c>
      <c r="J8" s="29">
        <v>8990</v>
      </c>
      <c r="K8" s="23" t="str">
        <f t="shared" si="1"/>
        <v>1 : 1</v>
      </c>
    </row>
    <row r="9" spans="1:11" ht="21" x14ac:dyDescent="0.45">
      <c r="A9" s="4">
        <v>4</v>
      </c>
      <c r="B9" s="5" t="s">
        <v>6</v>
      </c>
      <c r="C9" s="8">
        <f>67+644</f>
        <v>711</v>
      </c>
      <c r="D9" s="8">
        <f>81+2023</f>
        <v>2104</v>
      </c>
      <c r="E9" s="8">
        <f>220+333+4</f>
        <v>557</v>
      </c>
      <c r="F9" s="8">
        <f>303</f>
        <v>303</v>
      </c>
      <c r="G9" s="8">
        <f>101+151</f>
        <v>252</v>
      </c>
      <c r="H9" s="8">
        <f>102</f>
        <v>102</v>
      </c>
      <c r="I9" s="17">
        <f t="shared" si="0"/>
        <v>4029</v>
      </c>
      <c r="J9" s="29">
        <v>4955</v>
      </c>
      <c r="K9" s="23" t="str">
        <f t="shared" si="1"/>
        <v>1 : 1</v>
      </c>
    </row>
    <row r="10" spans="1:11" ht="21" x14ac:dyDescent="0.45">
      <c r="A10" s="4">
        <v>5</v>
      </c>
      <c r="B10" s="5" t="s">
        <v>7</v>
      </c>
      <c r="C10" s="8">
        <f>53+548+12</f>
        <v>613</v>
      </c>
      <c r="D10" s="8">
        <f>110+1699+16</f>
        <v>1825</v>
      </c>
      <c r="E10" s="8">
        <f>196+237+26+3</f>
        <v>462</v>
      </c>
      <c r="F10" s="8">
        <f>228+6+7</f>
        <v>241</v>
      </c>
      <c r="G10" s="8">
        <f>52+101</f>
        <v>153</v>
      </c>
      <c r="H10" s="8">
        <f>59+24</f>
        <v>83</v>
      </c>
      <c r="I10" s="17">
        <f t="shared" si="0"/>
        <v>3377</v>
      </c>
      <c r="J10" s="29">
        <v>3630</v>
      </c>
      <c r="K10" s="23" t="str">
        <f t="shared" si="1"/>
        <v>1 : 1</v>
      </c>
    </row>
    <row r="11" spans="1:11" ht="21" x14ac:dyDescent="0.45">
      <c r="A11" s="33" t="s">
        <v>24</v>
      </c>
      <c r="B11" s="33"/>
      <c r="C11" s="17">
        <f t="shared" ref="C11:H11" si="2">SUM(C6:C10)</f>
        <v>4546</v>
      </c>
      <c r="D11" s="17">
        <f t="shared" si="2"/>
        <v>13118</v>
      </c>
      <c r="E11" s="17">
        <f t="shared" si="2"/>
        <v>3776</v>
      </c>
      <c r="F11" s="17">
        <f t="shared" si="2"/>
        <v>1914</v>
      </c>
      <c r="G11" s="17">
        <f t="shared" si="2"/>
        <v>975</v>
      </c>
      <c r="H11" s="17">
        <f t="shared" si="2"/>
        <v>477</v>
      </c>
      <c r="I11" s="17">
        <f t="shared" si="0"/>
        <v>24806</v>
      </c>
      <c r="J11" s="29">
        <v>30687</v>
      </c>
      <c r="K11" s="23" t="str">
        <f t="shared" si="1"/>
        <v>1 : 1</v>
      </c>
    </row>
    <row r="12" spans="1:11" ht="21" x14ac:dyDescent="0.45">
      <c r="A12" s="15"/>
      <c r="B12" s="15" t="s">
        <v>8</v>
      </c>
      <c r="C12" s="18"/>
      <c r="D12" s="18"/>
      <c r="E12" s="18"/>
      <c r="F12" s="18"/>
      <c r="G12" s="18"/>
      <c r="H12" s="18"/>
      <c r="I12" s="18"/>
      <c r="J12" s="30"/>
      <c r="K12" s="22"/>
    </row>
    <row r="13" spans="1:11" ht="21" x14ac:dyDescent="0.45">
      <c r="A13" s="6">
        <v>6</v>
      </c>
      <c r="B13" s="7" t="s">
        <v>9</v>
      </c>
      <c r="C13" s="8">
        <f>248+819+10</f>
        <v>1077</v>
      </c>
      <c r="D13" s="8">
        <f>390+2547</f>
        <v>2937</v>
      </c>
      <c r="E13" s="8">
        <f>315+422+21</f>
        <v>758</v>
      </c>
      <c r="F13" s="8">
        <f>362</f>
        <v>362</v>
      </c>
      <c r="G13" s="8">
        <f>3+17+153</f>
        <v>173</v>
      </c>
      <c r="H13" s="8">
        <f>97+7</f>
        <v>104</v>
      </c>
      <c r="I13" s="19">
        <f>SUM(C13:H13)</f>
        <v>5411</v>
      </c>
      <c r="J13" s="28">
        <v>6785</v>
      </c>
      <c r="K13" s="23" t="str">
        <f>TEXT(J13/I13,"0")&amp;" : 1"</f>
        <v>1 : 1</v>
      </c>
    </row>
    <row r="14" spans="1:11" ht="21" x14ac:dyDescent="0.45">
      <c r="A14" s="4">
        <v>7</v>
      </c>
      <c r="B14" s="5" t="s">
        <v>10</v>
      </c>
      <c r="C14" s="8">
        <f>313+1071+2+9</f>
        <v>1395</v>
      </c>
      <c r="D14" s="8">
        <f>538+3328+18+7</f>
        <v>3891</v>
      </c>
      <c r="E14" s="8">
        <f>563+378+133+9+3</f>
        <v>1086</v>
      </c>
      <c r="F14" s="8">
        <f>474+5+53+6+5</f>
        <v>543</v>
      </c>
      <c r="G14" s="8">
        <f>7+41+207</f>
        <v>255</v>
      </c>
      <c r="H14" s="8">
        <f>131+23</f>
        <v>154</v>
      </c>
      <c r="I14" s="17">
        <f>SUM(C14:H14)</f>
        <v>7324</v>
      </c>
      <c r="J14" s="29">
        <v>8532</v>
      </c>
      <c r="K14" s="21" t="str">
        <f t="shared" ref="K14:K18" si="3">TEXT(J14/I14,"0")&amp;" : 1"</f>
        <v>1 : 1</v>
      </c>
    </row>
    <row r="15" spans="1:11" ht="21" x14ac:dyDescent="0.45">
      <c r="A15" s="4">
        <v>8</v>
      </c>
      <c r="B15" s="5" t="s">
        <v>11</v>
      </c>
      <c r="C15" s="8">
        <f>119+597+3</f>
        <v>719</v>
      </c>
      <c r="D15" s="8">
        <f>238+1929+30</f>
        <v>2197</v>
      </c>
      <c r="E15" s="8">
        <f>272+251+46+14</f>
        <v>583</v>
      </c>
      <c r="F15" s="8">
        <f>268+3+7+11</f>
        <v>289</v>
      </c>
      <c r="G15" s="8">
        <f>12+144</f>
        <v>156</v>
      </c>
      <c r="H15" s="8">
        <f>71+4</f>
        <v>75</v>
      </c>
      <c r="I15" s="17">
        <f>SUM(C15:H15)</f>
        <v>4019</v>
      </c>
      <c r="J15" s="29">
        <v>4837</v>
      </c>
      <c r="K15" s="21" t="str">
        <f t="shared" si="3"/>
        <v>1 : 1</v>
      </c>
    </row>
    <row r="16" spans="1:11" ht="21" x14ac:dyDescent="0.45">
      <c r="A16" s="4">
        <v>9</v>
      </c>
      <c r="B16" s="5" t="s">
        <v>12</v>
      </c>
      <c r="C16" s="8">
        <f>53+462</f>
        <v>515</v>
      </c>
      <c r="D16" s="8">
        <f>87+1410</f>
        <v>1497</v>
      </c>
      <c r="E16" s="8">
        <f>155+160+32</f>
        <v>347</v>
      </c>
      <c r="F16" s="8">
        <f>147+8</f>
        <v>155</v>
      </c>
      <c r="G16" s="8">
        <f>33+3</f>
        <v>36</v>
      </c>
      <c r="H16" s="8">
        <f>21</f>
        <v>21</v>
      </c>
      <c r="I16" s="17">
        <f>SUM(C16:H16)</f>
        <v>2571</v>
      </c>
      <c r="J16" s="29">
        <v>3104</v>
      </c>
      <c r="K16" s="21" t="str">
        <f t="shared" si="3"/>
        <v>1 : 1</v>
      </c>
    </row>
    <row r="17" spans="1:11" ht="21" x14ac:dyDescent="0.45">
      <c r="A17" s="33" t="s">
        <v>22</v>
      </c>
      <c r="B17" s="33"/>
      <c r="C17" s="17">
        <f t="shared" ref="C17:H17" si="4">SUM(C13:C16)</f>
        <v>3706</v>
      </c>
      <c r="D17" s="17">
        <f t="shared" si="4"/>
        <v>10522</v>
      </c>
      <c r="E17" s="17">
        <f t="shared" si="4"/>
        <v>2774</v>
      </c>
      <c r="F17" s="17">
        <f t="shared" si="4"/>
        <v>1349</v>
      </c>
      <c r="G17" s="17">
        <f t="shared" si="4"/>
        <v>620</v>
      </c>
      <c r="H17" s="17">
        <f t="shared" si="4"/>
        <v>354</v>
      </c>
      <c r="I17" s="17">
        <f>SUM(C17:H17)</f>
        <v>19325</v>
      </c>
      <c r="J17" s="29">
        <v>23258</v>
      </c>
      <c r="K17" s="21" t="str">
        <f t="shared" si="3"/>
        <v>1 : 1</v>
      </c>
    </row>
    <row r="18" spans="1:11" ht="21" x14ac:dyDescent="0.45">
      <c r="A18" s="33" t="s">
        <v>23</v>
      </c>
      <c r="B18" s="33"/>
      <c r="C18" s="17">
        <f>C17+C11</f>
        <v>8252</v>
      </c>
      <c r="D18" s="17">
        <f t="shared" ref="D18:I18" si="5">D17+D11</f>
        <v>23640</v>
      </c>
      <c r="E18" s="17">
        <f t="shared" si="5"/>
        <v>6550</v>
      </c>
      <c r="F18" s="17">
        <f t="shared" si="5"/>
        <v>3263</v>
      </c>
      <c r="G18" s="17">
        <f t="shared" si="5"/>
        <v>1595</v>
      </c>
      <c r="H18" s="17">
        <f t="shared" si="5"/>
        <v>831</v>
      </c>
      <c r="I18" s="17">
        <f t="shared" si="5"/>
        <v>44131</v>
      </c>
      <c r="J18" s="29">
        <v>53945</v>
      </c>
      <c r="K18" s="21" t="str">
        <f t="shared" si="3"/>
        <v>1 : 1</v>
      </c>
    </row>
  </sheetData>
  <mergeCells count="8">
    <mergeCell ref="A18:B18"/>
    <mergeCell ref="J3:J4"/>
    <mergeCell ref="A3:A4"/>
    <mergeCell ref="B3:B4"/>
    <mergeCell ref="C3:H3"/>
    <mergeCell ref="I3:I4"/>
    <mergeCell ref="A11:B11"/>
    <mergeCell ref="A17:B17"/>
  </mergeCells>
  <printOptions horizontalCentered="1"/>
  <pageMargins left="0.70866141732283472" right="0.70866141732283472" top="0.74803149606299213" bottom="0.74803149606299213" header="0.31496062992125984" footer="0.31496062992125984"/>
  <pageSetup paperSize="9" firstPageNumber="6" orientation="landscape" useFirstPageNumber="1" horizontalDpi="4294967293" verticalDpi="4294967293" r:id="rId1"/>
  <headerFooter>
    <oddHeader>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workbookViewId="0"/>
  </sheetViews>
  <sheetFormatPr defaultRowHeight="14.25" x14ac:dyDescent="0.2"/>
  <cols>
    <col min="1" max="1" width="5.375" customWidth="1"/>
    <col min="2" max="2" width="18.75" customWidth="1"/>
    <col min="3" max="8" width="10.875" customWidth="1"/>
    <col min="9" max="9" width="9.375" customWidth="1"/>
  </cols>
  <sheetData>
    <row r="1" spans="1:11" ht="23.25" x14ac:dyDescent="0.5">
      <c r="A1" s="13" t="s">
        <v>49</v>
      </c>
      <c r="B1" s="1"/>
      <c r="C1" s="1"/>
      <c r="D1" s="1"/>
      <c r="E1" s="1"/>
      <c r="F1" s="1"/>
      <c r="G1" s="1"/>
      <c r="H1" s="1"/>
      <c r="I1" s="10"/>
    </row>
    <row r="2" spans="1:11" ht="21" x14ac:dyDescent="0.45">
      <c r="A2" s="3"/>
      <c r="B2" s="1"/>
      <c r="C2" s="1"/>
      <c r="D2" s="1"/>
      <c r="E2" s="1"/>
      <c r="F2" s="1"/>
      <c r="G2" s="1"/>
      <c r="H2" s="1"/>
      <c r="I2" s="10"/>
    </row>
    <row r="3" spans="1:11" ht="21" x14ac:dyDescent="0.45">
      <c r="A3" s="34" t="s">
        <v>0</v>
      </c>
      <c r="B3" s="34" t="s">
        <v>1</v>
      </c>
      <c r="C3" s="33" t="s">
        <v>37</v>
      </c>
      <c r="D3" s="33"/>
      <c r="E3" s="33"/>
      <c r="F3" s="33"/>
      <c r="G3" s="33"/>
      <c r="H3" s="33"/>
      <c r="I3" s="34" t="s">
        <v>20</v>
      </c>
      <c r="J3" s="37" t="s">
        <v>21</v>
      </c>
      <c r="K3" s="22" t="s">
        <v>33</v>
      </c>
    </row>
    <row r="4" spans="1:11" ht="21" x14ac:dyDescent="0.2">
      <c r="A4" s="34"/>
      <c r="B4" s="34"/>
      <c r="C4" s="21" t="s">
        <v>25</v>
      </c>
      <c r="D4" s="21" t="s">
        <v>26</v>
      </c>
      <c r="E4" s="21" t="s">
        <v>27</v>
      </c>
      <c r="F4" s="21" t="s">
        <v>28</v>
      </c>
      <c r="G4" s="21" t="s">
        <v>29</v>
      </c>
      <c r="H4" s="21" t="s">
        <v>30</v>
      </c>
      <c r="I4" s="34"/>
      <c r="J4" s="38"/>
      <c r="K4" s="23" t="s">
        <v>38</v>
      </c>
    </row>
    <row r="5" spans="1:11" ht="21" x14ac:dyDescent="0.45">
      <c r="A5" s="15"/>
      <c r="B5" s="15" t="s">
        <v>2</v>
      </c>
      <c r="C5" s="16"/>
      <c r="D5" s="16"/>
      <c r="E5" s="16"/>
      <c r="F5" s="16"/>
      <c r="G5" s="16"/>
      <c r="H5" s="16"/>
      <c r="I5" s="16"/>
      <c r="J5" s="27"/>
      <c r="K5" s="27"/>
    </row>
    <row r="6" spans="1:11" ht="21" x14ac:dyDescent="0.45">
      <c r="A6" s="6">
        <v>1</v>
      </c>
      <c r="B6" s="7" t="s">
        <v>3</v>
      </c>
      <c r="C6" s="8">
        <f>123+651+2</f>
        <v>776</v>
      </c>
      <c r="D6" s="8">
        <f>208+2046+22</f>
        <v>2276</v>
      </c>
      <c r="E6" s="8">
        <f>363+217+47+12</f>
        <v>639</v>
      </c>
      <c r="F6" s="8">
        <f>256+35+23+13</f>
        <v>327</v>
      </c>
      <c r="G6" s="8">
        <f>65+14</f>
        <v>79</v>
      </c>
      <c r="H6" s="8">
        <f>28</f>
        <v>28</v>
      </c>
      <c r="I6" s="19">
        <f t="shared" ref="I6:I11" si="0">SUM(C6:H6)</f>
        <v>4125</v>
      </c>
      <c r="J6" s="28">
        <v>289</v>
      </c>
      <c r="K6" s="23" t="str">
        <f>TEXT(I6/J6,"0")&amp;" : 1"</f>
        <v>14 : 1</v>
      </c>
    </row>
    <row r="7" spans="1:11" ht="21" x14ac:dyDescent="0.45">
      <c r="A7" s="4">
        <v>2</v>
      </c>
      <c r="B7" s="5" t="s">
        <v>4</v>
      </c>
      <c r="C7" s="8">
        <f>147+889+2+8</f>
        <v>1046</v>
      </c>
      <c r="D7" s="8">
        <f>243+2734+24+12</f>
        <v>3013</v>
      </c>
      <c r="E7" s="8">
        <f>525+374+60+18+11</f>
        <v>988</v>
      </c>
      <c r="F7" s="8">
        <f>428+12+34+19+14</f>
        <v>507</v>
      </c>
      <c r="G7" s="8">
        <f>185+52</f>
        <v>237</v>
      </c>
      <c r="H7" s="8">
        <f>116+34</f>
        <v>150</v>
      </c>
      <c r="I7" s="17">
        <f t="shared" si="0"/>
        <v>5941</v>
      </c>
      <c r="J7" s="29">
        <v>515</v>
      </c>
      <c r="K7" s="23" t="str">
        <f t="shared" ref="K7:K11" si="1">TEXT(I7/J7,"0")&amp;" : 1"</f>
        <v>12 : 1</v>
      </c>
    </row>
    <row r="8" spans="1:11" ht="21" x14ac:dyDescent="0.45">
      <c r="A8" s="4">
        <v>3</v>
      </c>
      <c r="B8" s="5" t="s">
        <v>5</v>
      </c>
      <c r="C8" s="8">
        <f>352+1043+2+3</f>
        <v>1400</v>
      </c>
      <c r="D8" s="8">
        <f>590+3289+21</f>
        <v>3900</v>
      </c>
      <c r="E8" s="8">
        <f>554+402+154+20</f>
        <v>1130</v>
      </c>
      <c r="F8" s="8">
        <f>441+37+46+12</f>
        <v>536</v>
      </c>
      <c r="G8" s="8">
        <f>2+114+138</f>
        <v>254</v>
      </c>
      <c r="H8" s="8">
        <f>86+28</f>
        <v>114</v>
      </c>
      <c r="I8" s="17">
        <f t="shared" si="0"/>
        <v>7334</v>
      </c>
      <c r="J8" s="29">
        <v>627</v>
      </c>
      <c r="K8" s="23" t="str">
        <f t="shared" si="1"/>
        <v>12 : 1</v>
      </c>
    </row>
    <row r="9" spans="1:11" ht="21" x14ac:dyDescent="0.45">
      <c r="A9" s="4">
        <v>4</v>
      </c>
      <c r="B9" s="5" t="s">
        <v>6</v>
      </c>
      <c r="C9" s="8">
        <f>67+644</f>
        <v>711</v>
      </c>
      <c r="D9" s="8">
        <f>81+2023</f>
        <v>2104</v>
      </c>
      <c r="E9" s="8">
        <f>220+333+4</f>
        <v>557</v>
      </c>
      <c r="F9" s="8">
        <f>303</f>
        <v>303</v>
      </c>
      <c r="G9" s="8">
        <f>101+151</f>
        <v>252</v>
      </c>
      <c r="H9" s="8">
        <f>102</f>
        <v>102</v>
      </c>
      <c r="I9" s="17">
        <f t="shared" si="0"/>
        <v>4029</v>
      </c>
      <c r="J9" s="29">
        <v>366</v>
      </c>
      <c r="K9" s="23" t="str">
        <f t="shared" si="1"/>
        <v>11 : 1</v>
      </c>
    </row>
    <row r="10" spans="1:11" ht="21" x14ac:dyDescent="0.45">
      <c r="A10" s="4">
        <v>5</v>
      </c>
      <c r="B10" s="5" t="s">
        <v>7</v>
      </c>
      <c r="C10" s="8">
        <f>53+548+12</f>
        <v>613</v>
      </c>
      <c r="D10" s="8">
        <f>110+1699+16</f>
        <v>1825</v>
      </c>
      <c r="E10" s="8">
        <f>196+237+26+3</f>
        <v>462</v>
      </c>
      <c r="F10" s="8">
        <f>228+6+7</f>
        <v>241</v>
      </c>
      <c r="G10" s="8">
        <f>52+101</f>
        <v>153</v>
      </c>
      <c r="H10" s="8">
        <f>59+24</f>
        <v>83</v>
      </c>
      <c r="I10" s="17">
        <f t="shared" si="0"/>
        <v>3377</v>
      </c>
      <c r="J10" s="29">
        <v>325</v>
      </c>
      <c r="K10" s="23" t="str">
        <f t="shared" si="1"/>
        <v>10 : 1</v>
      </c>
    </row>
    <row r="11" spans="1:11" ht="21" x14ac:dyDescent="0.45">
      <c r="A11" s="33" t="s">
        <v>24</v>
      </c>
      <c r="B11" s="33"/>
      <c r="C11" s="17">
        <f t="shared" ref="C11:H11" si="2">SUM(C6:C10)</f>
        <v>4546</v>
      </c>
      <c r="D11" s="17">
        <f t="shared" si="2"/>
        <v>13118</v>
      </c>
      <c r="E11" s="17">
        <f t="shared" si="2"/>
        <v>3776</v>
      </c>
      <c r="F11" s="17">
        <f t="shared" si="2"/>
        <v>1914</v>
      </c>
      <c r="G11" s="17">
        <f t="shared" si="2"/>
        <v>975</v>
      </c>
      <c r="H11" s="17">
        <f t="shared" si="2"/>
        <v>477</v>
      </c>
      <c r="I11" s="17">
        <f t="shared" si="0"/>
        <v>24806</v>
      </c>
      <c r="J11" s="29">
        <f>SUM(J6:J10)</f>
        <v>2122</v>
      </c>
      <c r="K11" s="23" t="str">
        <f t="shared" si="1"/>
        <v>12 : 1</v>
      </c>
    </row>
    <row r="12" spans="1:11" ht="21" x14ac:dyDescent="0.45">
      <c r="A12" s="15"/>
      <c r="B12" s="15" t="s">
        <v>8</v>
      </c>
      <c r="C12" s="18"/>
      <c r="D12" s="18"/>
      <c r="E12" s="18"/>
      <c r="F12" s="18"/>
      <c r="G12" s="18"/>
      <c r="H12" s="18"/>
      <c r="I12" s="18"/>
      <c r="J12" s="30"/>
      <c r="K12" s="22"/>
    </row>
    <row r="13" spans="1:11" ht="21" x14ac:dyDescent="0.45">
      <c r="A13" s="6">
        <v>6</v>
      </c>
      <c r="B13" s="7" t="s">
        <v>9</v>
      </c>
      <c r="C13" s="8">
        <f>248+819+10</f>
        <v>1077</v>
      </c>
      <c r="D13" s="8">
        <f>390+2547</f>
        <v>2937</v>
      </c>
      <c r="E13" s="8">
        <f>315+422+21</f>
        <v>758</v>
      </c>
      <c r="F13" s="8">
        <f>362</f>
        <v>362</v>
      </c>
      <c r="G13" s="8">
        <f>3+17+153</f>
        <v>173</v>
      </c>
      <c r="H13" s="8">
        <f>97+7</f>
        <v>104</v>
      </c>
      <c r="I13" s="19">
        <f>SUM(C13:H13)</f>
        <v>5411</v>
      </c>
      <c r="J13" s="28">
        <v>481</v>
      </c>
      <c r="K13" s="23" t="str">
        <f>TEXT(I13/J13,"0")&amp;" : 1"</f>
        <v>11 : 1</v>
      </c>
    </row>
    <row r="14" spans="1:11" ht="21" x14ac:dyDescent="0.45">
      <c r="A14" s="4">
        <v>7</v>
      </c>
      <c r="B14" s="5" t="s">
        <v>10</v>
      </c>
      <c r="C14" s="8">
        <f>313+1071+2+9</f>
        <v>1395</v>
      </c>
      <c r="D14" s="8">
        <f>538+3328+18+7</f>
        <v>3891</v>
      </c>
      <c r="E14" s="8">
        <f>563+378+133+9+3</f>
        <v>1086</v>
      </c>
      <c r="F14" s="8">
        <f>474+5+53+6+5</f>
        <v>543</v>
      </c>
      <c r="G14" s="8">
        <f>7+41+207</f>
        <v>255</v>
      </c>
      <c r="H14" s="8">
        <f>131+23</f>
        <v>154</v>
      </c>
      <c r="I14" s="17">
        <f>SUM(C14:H14)</f>
        <v>7324</v>
      </c>
      <c r="J14" s="29">
        <v>647</v>
      </c>
      <c r="K14" s="23" t="str">
        <f t="shared" ref="K14:K18" si="3">TEXT(I14/J14,"0")&amp;" : 1"</f>
        <v>11 : 1</v>
      </c>
    </row>
    <row r="15" spans="1:11" ht="21" x14ac:dyDescent="0.45">
      <c r="A15" s="4">
        <v>8</v>
      </c>
      <c r="B15" s="5" t="s">
        <v>11</v>
      </c>
      <c r="C15" s="8">
        <f>119+597+3</f>
        <v>719</v>
      </c>
      <c r="D15" s="8">
        <f>238+1929+30</f>
        <v>2197</v>
      </c>
      <c r="E15" s="8">
        <f>272+251+46+14</f>
        <v>583</v>
      </c>
      <c r="F15" s="8">
        <f>268+3+7+11</f>
        <v>289</v>
      </c>
      <c r="G15" s="8">
        <f>12+144</f>
        <v>156</v>
      </c>
      <c r="H15" s="8">
        <f>71+4</f>
        <v>75</v>
      </c>
      <c r="I15" s="17">
        <f>SUM(C15:H15)</f>
        <v>4019</v>
      </c>
      <c r="J15" s="29">
        <v>386</v>
      </c>
      <c r="K15" s="23" t="str">
        <f t="shared" si="3"/>
        <v>10 : 1</v>
      </c>
    </row>
    <row r="16" spans="1:11" ht="21" x14ac:dyDescent="0.45">
      <c r="A16" s="4">
        <v>9</v>
      </c>
      <c r="B16" s="5" t="s">
        <v>12</v>
      </c>
      <c r="C16" s="8">
        <f>53+462</f>
        <v>515</v>
      </c>
      <c r="D16" s="8">
        <f>87+1410</f>
        <v>1497</v>
      </c>
      <c r="E16" s="8">
        <f>155+160+32</f>
        <v>347</v>
      </c>
      <c r="F16" s="8">
        <f>147+8</f>
        <v>155</v>
      </c>
      <c r="G16" s="8">
        <f>33+3</f>
        <v>36</v>
      </c>
      <c r="H16" s="8">
        <f>21</f>
        <v>21</v>
      </c>
      <c r="I16" s="17">
        <f>SUM(C16:H16)</f>
        <v>2571</v>
      </c>
      <c r="J16" s="29">
        <v>261</v>
      </c>
      <c r="K16" s="23" t="str">
        <f t="shared" si="3"/>
        <v>10 : 1</v>
      </c>
    </row>
    <row r="17" spans="1:11" ht="21" x14ac:dyDescent="0.45">
      <c r="A17" s="33" t="s">
        <v>22</v>
      </c>
      <c r="B17" s="33"/>
      <c r="C17" s="17">
        <f t="shared" ref="C17:H17" si="4">SUM(C13:C16)</f>
        <v>3706</v>
      </c>
      <c r="D17" s="17">
        <f t="shared" si="4"/>
        <v>10522</v>
      </c>
      <c r="E17" s="17">
        <f t="shared" si="4"/>
        <v>2774</v>
      </c>
      <c r="F17" s="17">
        <f t="shared" si="4"/>
        <v>1349</v>
      </c>
      <c r="G17" s="17">
        <f t="shared" si="4"/>
        <v>620</v>
      </c>
      <c r="H17" s="17">
        <f t="shared" si="4"/>
        <v>354</v>
      </c>
      <c r="I17" s="17">
        <f>SUM(C17:H17)</f>
        <v>19325</v>
      </c>
      <c r="J17" s="29">
        <f>SUM(J13:J16)</f>
        <v>1775</v>
      </c>
      <c r="K17" s="23" t="str">
        <f t="shared" si="3"/>
        <v>11 : 1</v>
      </c>
    </row>
    <row r="18" spans="1:11" ht="21" x14ac:dyDescent="0.45">
      <c r="A18" s="33" t="s">
        <v>23</v>
      </c>
      <c r="B18" s="33"/>
      <c r="C18" s="17">
        <f>C17+C11</f>
        <v>8252</v>
      </c>
      <c r="D18" s="17">
        <f t="shared" ref="D18:H18" si="5">D17+D11</f>
        <v>23640</v>
      </c>
      <c r="E18" s="17">
        <f t="shared" si="5"/>
        <v>6550</v>
      </c>
      <c r="F18" s="17">
        <f t="shared" si="5"/>
        <v>3263</v>
      </c>
      <c r="G18" s="17">
        <f t="shared" si="5"/>
        <v>1595</v>
      </c>
      <c r="H18" s="17">
        <f t="shared" si="5"/>
        <v>831</v>
      </c>
      <c r="I18" s="17">
        <f>I17+I11</f>
        <v>44131</v>
      </c>
      <c r="J18" s="17">
        <f>J17+J11</f>
        <v>3897</v>
      </c>
      <c r="K18" s="23" t="str">
        <f t="shared" si="3"/>
        <v>11 : 1</v>
      </c>
    </row>
  </sheetData>
  <mergeCells count="8">
    <mergeCell ref="I3:I4"/>
    <mergeCell ref="J3:J4"/>
    <mergeCell ref="A11:B11"/>
    <mergeCell ref="A17:B17"/>
    <mergeCell ref="A18:B18"/>
    <mergeCell ref="A3:A4"/>
    <mergeCell ref="B3:B4"/>
    <mergeCell ref="C3:H3"/>
  </mergeCells>
  <printOptions horizontalCentered="1"/>
  <pageMargins left="0.70866141732283472" right="0.70866141732283472" top="0.74803149606299213" bottom="0.74803149606299213" header="0.31496062992125984" footer="0.31496062992125984"/>
  <pageSetup paperSize="9" firstPageNumber="7" orientation="landscape" useFirstPageNumber="1" horizontalDpi="4294967293" verticalDpi="4294967293" r:id="rId1"/>
  <headerFooter>
    <oddHeader>&amp;C&amp;P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workbookViewId="0">
      <selection activeCell="C1" sqref="C1:H1048576"/>
    </sheetView>
  </sheetViews>
  <sheetFormatPr defaultRowHeight="14.25" x14ac:dyDescent="0.2"/>
  <cols>
    <col min="1" max="1" width="5.375" customWidth="1"/>
    <col min="2" max="2" width="18.75" customWidth="1"/>
    <col min="3" max="8" width="10.875" customWidth="1"/>
    <col min="9" max="9" width="10.125" customWidth="1"/>
  </cols>
  <sheetData>
    <row r="1" spans="1:11" ht="23.25" x14ac:dyDescent="0.5">
      <c r="A1" s="13" t="s">
        <v>50</v>
      </c>
      <c r="B1" s="1"/>
      <c r="C1" s="1"/>
      <c r="D1" s="1"/>
      <c r="E1" s="1"/>
      <c r="F1" s="1"/>
      <c r="G1" s="1"/>
      <c r="H1" s="1"/>
      <c r="I1" s="10"/>
    </row>
    <row r="2" spans="1:11" ht="21" x14ac:dyDescent="0.45">
      <c r="A2" s="3"/>
      <c r="B2" s="1"/>
      <c r="C2" s="1"/>
      <c r="D2" s="1"/>
      <c r="E2" s="1"/>
      <c r="F2" s="1"/>
      <c r="G2" s="1"/>
      <c r="H2" s="1"/>
      <c r="I2" s="10"/>
    </row>
    <row r="3" spans="1:11" ht="21" x14ac:dyDescent="0.45">
      <c r="A3" s="34" t="s">
        <v>0</v>
      </c>
      <c r="B3" s="34" t="s">
        <v>1</v>
      </c>
      <c r="C3" s="33" t="s">
        <v>31</v>
      </c>
      <c r="D3" s="33"/>
      <c r="E3" s="33"/>
      <c r="F3" s="33"/>
      <c r="G3" s="33"/>
      <c r="H3" s="33"/>
      <c r="I3" s="34" t="s">
        <v>20</v>
      </c>
      <c r="J3" s="39" t="s">
        <v>21</v>
      </c>
      <c r="K3" s="30" t="s">
        <v>33</v>
      </c>
    </row>
    <row r="4" spans="1:11" ht="21" x14ac:dyDescent="0.2">
      <c r="A4" s="34"/>
      <c r="B4" s="34"/>
      <c r="C4" s="21" t="s">
        <v>25</v>
      </c>
      <c r="D4" s="21" t="s">
        <v>26</v>
      </c>
      <c r="E4" s="21" t="s">
        <v>27</v>
      </c>
      <c r="F4" s="21" t="s">
        <v>28</v>
      </c>
      <c r="G4" s="21" t="s">
        <v>29</v>
      </c>
      <c r="H4" s="21" t="s">
        <v>30</v>
      </c>
      <c r="I4" s="34"/>
      <c r="J4" s="39"/>
      <c r="K4" s="28" t="s">
        <v>39</v>
      </c>
    </row>
    <row r="5" spans="1:11" ht="21" x14ac:dyDescent="0.45">
      <c r="A5" s="15"/>
      <c r="B5" s="15" t="s">
        <v>2</v>
      </c>
      <c r="C5" s="16"/>
      <c r="D5" s="16"/>
      <c r="E5" s="16"/>
      <c r="F5" s="16"/>
      <c r="G5" s="16"/>
      <c r="H5" s="16"/>
      <c r="I5" s="16"/>
      <c r="J5" s="18"/>
      <c r="K5" s="18"/>
    </row>
    <row r="6" spans="1:11" ht="21" x14ac:dyDescent="0.45">
      <c r="A6" s="6">
        <v>1</v>
      </c>
      <c r="B6" s="7" t="s">
        <v>3</v>
      </c>
      <c r="C6" s="8">
        <f>12122+3878+11</f>
        <v>16011</v>
      </c>
      <c r="D6" s="8">
        <f>40232+7106+69+201+430+876</f>
        <v>48914</v>
      </c>
      <c r="E6" s="8">
        <f>7572+9433+1658+26+407+352+2063</f>
        <v>21511</v>
      </c>
      <c r="F6" s="8">
        <f>7813+870+658+29+323+450+3333</f>
        <v>13476</v>
      </c>
      <c r="G6" s="8">
        <f>3825+232</f>
        <v>4057</v>
      </c>
      <c r="H6" s="8">
        <f>1191</f>
        <v>1191</v>
      </c>
      <c r="I6" s="19">
        <f t="shared" ref="I6:I11" si="0">SUM(C6:H6)</f>
        <v>105160</v>
      </c>
      <c r="J6" s="19">
        <v>289</v>
      </c>
      <c r="K6" s="28" t="str">
        <f>TEXT(I6/J6,"0")&amp;" : 1"</f>
        <v>364 : 1</v>
      </c>
    </row>
    <row r="7" spans="1:11" ht="21" x14ac:dyDescent="0.45">
      <c r="A7" s="4">
        <v>2</v>
      </c>
      <c r="B7" s="5" t="s">
        <v>4</v>
      </c>
      <c r="C7" s="8">
        <f>12445+4630+8+300</f>
        <v>17383</v>
      </c>
      <c r="D7" s="8">
        <f>41875+10359+173+191+578</f>
        <v>53176</v>
      </c>
      <c r="E7" s="8">
        <f>13319+10078+2353+116+301+3582</f>
        <v>29749</v>
      </c>
      <c r="F7" s="8">
        <f>14366+246+939+123+271+6981</f>
        <v>22926</v>
      </c>
      <c r="G7" s="8">
        <f>6778+1349</f>
        <v>8127</v>
      </c>
      <c r="H7" s="8">
        <f>932+4408</f>
        <v>5340</v>
      </c>
      <c r="I7" s="17">
        <f t="shared" si="0"/>
        <v>136701</v>
      </c>
      <c r="J7" s="17">
        <v>515</v>
      </c>
      <c r="K7" s="29" t="str">
        <f t="shared" ref="K7:K11" si="1">TEXT(I7/J7,"0")&amp;" : 1"</f>
        <v>265 : 1</v>
      </c>
    </row>
    <row r="8" spans="1:11" ht="21" x14ac:dyDescent="0.45">
      <c r="A8" s="4">
        <v>3</v>
      </c>
      <c r="B8" s="5" t="s">
        <v>5</v>
      </c>
      <c r="C8" s="8">
        <f>12510+10119+22+46</f>
        <v>22697</v>
      </c>
      <c r="D8" s="8">
        <f>45378+19660+115+276+757</f>
        <v>66186</v>
      </c>
      <c r="E8" s="8">
        <f>14448+10788+5256+97+303+5315</f>
        <v>36207</v>
      </c>
      <c r="F8" s="8">
        <f>15092+885+1613+67+133+8074</f>
        <v>25864</v>
      </c>
      <c r="G8" s="8">
        <f>4185+3141+44</f>
        <v>7370</v>
      </c>
      <c r="H8" s="8">
        <f>529+2227</f>
        <v>2756</v>
      </c>
      <c r="I8" s="17">
        <f t="shared" si="0"/>
        <v>161080</v>
      </c>
      <c r="J8" s="17">
        <v>627</v>
      </c>
      <c r="K8" s="29" t="str">
        <f t="shared" si="1"/>
        <v>257 : 1</v>
      </c>
    </row>
    <row r="9" spans="1:11" ht="21" x14ac:dyDescent="0.45">
      <c r="A9" s="4">
        <v>4</v>
      </c>
      <c r="B9" s="5" t="s">
        <v>6</v>
      </c>
      <c r="C9" s="8">
        <f>8455+2117</f>
        <v>10572</v>
      </c>
      <c r="D9" s="8">
        <f>29912+2147+287</f>
        <v>32346</v>
      </c>
      <c r="E9" s="8">
        <f>11473+4211+136+2769</f>
        <v>18589</v>
      </c>
      <c r="F9" s="8">
        <f>10006+4700</f>
        <v>14706</v>
      </c>
      <c r="G9" s="8">
        <f>3846+121</f>
        <v>3967</v>
      </c>
      <c r="H9" s="8">
        <f>2311</f>
        <v>2311</v>
      </c>
      <c r="I9" s="17">
        <f t="shared" si="0"/>
        <v>82491</v>
      </c>
      <c r="J9" s="17">
        <v>366</v>
      </c>
      <c r="K9" s="29" t="str">
        <f t="shared" si="1"/>
        <v>225 : 1</v>
      </c>
    </row>
    <row r="10" spans="1:11" ht="21" x14ac:dyDescent="0.45">
      <c r="A10" s="4">
        <v>5</v>
      </c>
      <c r="B10" s="5" t="s">
        <v>7</v>
      </c>
      <c r="C10" s="8">
        <f>5926+1418</f>
        <v>7344</v>
      </c>
      <c r="D10" s="8">
        <f>20157+3461+648</f>
        <v>24266</v>
      </c>
      <c r="E10" s="8">
        <f>8375+3562+828+78+2392</f>
        <v>15235</v>
      </c>
      <c r="F10" s="8">
        <f>7351+116+196+4618</f>
        <v>12281</v>
      </c>
      <c r="G10" s="8">
        <f>27+1430+5082+38</f>
        <v>6577</v>
      </c>
      <c r="H10" s="8">
        <f>700+2640</f>
        <v>3340</v>
      </c>
      <c r="I10" s="17">
        <f t="shared" si="0"/>
        <v>69043</v>
      </c>
      <c r="J10" s="17">
        <v>325</v>
      </c>
      <c r="K10" s="29" t="str">
        <f t="shared" si="1"/>
        <v>212 : 1</v>
      </c>
    </row>
    <row r="11" spans="1:11" ht="21" x14ac:dyDescent="0.45">
      <c r="A11" s="33" t="s">
        <v>24</v>
      </c>
      <c r="B11" s="33"/>
      <c r="C11" s="17">
        <f t="shared" ref="C11:H11" si="2">SUM(C6:C10)</f>
        <v>74007</v>
      </c>
      <c r="D11" s="17">
        <f t="shared" si="2"/>
        <v>224888</v>
      </c>
      <c r="E11" s="17">
        <f t="shared" si="2"/>
        <v>121291</v>
      </c>
      <c r="F11" s="17">
        <f t="shared" si="2"/>
        <v>89253</v>
      </c>
      <c r="G11" s="17">
        <f t="shared" si="2"/>
        <v>30098</v>
      </c>
      <c r="H11" s="17">
        <f t="shared" si="2"/>
        <v>14938</v>
      </c>
      <c r="I11" s="17">
        <f t="shared" si="0"/>
        <v>554475</v>
      </c>
      <c r="J11" s="17">
        <f>SUM(J6:J10)</f>
        <v>2122</v>
      </c>
      <c r="K11" s="29" t="str">
        <f t="shared" si="1"/>
        <v>261 : 1</v>
      </c>
    </row>
    <row r="12" spans="1:11" ht="21" x14ac:dyDescent="0.45">
      <c r="A12" s="15"/>
      <c r="B12" s="15" t="s">
        <v>8</v>
      </c>
      <c r="C12" s="18"/>
      <c r="D12" s="18"/>
      <c r="E12" s="18"/>
      <c r="F12" s="18"/>
      <c r="G12" s="18"/>
      <c r="H12" s="18"/>
      <c r="I12" s="18"/>
      <c r="J12" s="18"/>
      <c r="K12" s="30"/>
    </row>
    <row r="13" spans="1:11" ht="21" x14ac:dyDescent="0.45">
      <c r="A13" s="6">
        <v>6</v>
      </c>
      <c r="B13" s="7" t="s">
        <v>9</v>
      </c>
      <c r="C13" s="8">
        <f>11388+7139+173</f>
        <v>18700</v>
      </c>
      <c r="D13" s="8">
        <f>38685+12337+846</f>
        <v>51868</v>
      </c>
      <c r="E13" s="8">
        <f>15341+6504+667+6459</f>
        <v>28971</v>
      </c>
      <c r="F13" s="8">
        <f>12883+9731</f>
        <v>22614</v>
      </c>
      <c r="G13" s="8">
        <f>157+359+3515+282</f>
        <v>4313</v>
      </c>
      <c r="H13" s="8">
        <f>177+2178</f>
        <v>2355</v>
      </c>
      <c r="I13" s="19">
        <f>SUM(C13:H13)</f>
        <v>128821</v>
      </c>
      <c r="J13" s="19">
        <v>481</v>
      </c>
      <c r="K13" s="28" t="str">
        <f>TEXT(I13/J13,"0")&amp;" : 1"</f>
        <v>268 : 1</v>
      </c>
    </row>
    <row r="14" spans="1:11" ht="21" x14ac:dyDescent="0.45">
      <c r="A14" s="4">
        <v>7</v>
      </c>
      <c r="B14" s="5" t="s">
        <v>10</v>
      </c>
      <c r="C14" s="8">
        <f>13398+8954+20+242</f>
        <v>22614</v>
      </c>
      <c r="D14" s="8">
        <f>18912+45974+222+185+586</f>
        <v>65879</v>
      </c>
      <c r="E14" s="8">
        <f>20111+7621+5228+100+74+6170</f>
        <v>39304</v>
      </c>
      <c r="F14" s="8">
        <f>17020+58+2135+69+83+9950</f>
        <v>29315</v>
      </c>
      <c r="G14" s="8">
        <f>314+1055+6787</f>
        <v>8156</v>
      </c>
      <c r="H14" s="8">
        <f>372+3836</f>
        <v>4208</v>
      </c>
      <c r="I14" s="17">
        <f>SUM(C14:H14)</f>
        <v>169476</v>
      </c>
      <c r="J14" s="17">
        <v>647</v>
      </c>
      <c r="K14" s="29" t="str">
        <f t="shared" ref="K14:K18" si="3">TEXT(I14/J14,"0")&amp;" : 1"</f>
        <v>262 : 1</v>
      </c>
    </row>
    <row r="15" spans="1:11" ht="21" x14ac:dyDescent="0.45">
      <c r="A15" s="4">
        <v>8</v>
      </c>
      <c r="B15" s="5" t="s">
        <v>11</v>
      </c>
      <c r="C15" s="8">
        <f>7009+3498+21</f>
        <v>10528</v>
      </c>
      <c r="D15" s="8">
        <f>24525+7672+197+653</f>
        <v>33047</v>
      </c>
      <c r="E15" s="8">
        <f>9997+4530+1290+93+2734</f>
        <v>18644</v>
      </c>
      <c r="F15" s="8">
        <f>8825+45+201+49+4733</f>
        <v>13853</v>
      </c>
      <c r="G15" s="8">
        <f>342+2478+86</f>
        <v>2906</v>
      </c>
      <c r="H15" s="8">
        <f>88+1226</f>
        <v>1314</v>
      </c>
      <c r="I15" s="17">
        <f>SUM(C15:H15)</f>
        <v>80292</v>
      </c>
      <c r="J15" s="17">
        <v>386</v>
      </c>
      <c r="K15" s="29" t="str">
        <f t="shared" si="3"/>
        <v>208 : 1</v>
      </c>
    </row>
    <row r="16" spans="1:11" ht="21" x14ac:dyDescent="0.45">
      <c r="A16" s="4">
        <v>9</v>
      </c>
      <c r="B16" s="5" t="s">
        <v>12</v>
      </c>
      <c r="C16" s="8">
        <f>5892+1252</f>
        <v>7144</v>
      </c>
      <c r="D16" s="8">
        <f>20223+2441+170</f>
        <v>22834</v>
      </c>
      <c r="E16" s="8">
        <f>4690+3004+1366+2204</f>
        <v>11264</v>
      </c>
      <c r="F16" s="8">
        <f>3912+267+3027</f>
        <v>7206</v>
      </c>
      <c r="G16" s="8">
        <f>106+2081+48</f>
        <v>2235</v>
      </c>
      <c r="H16" s="8">
        <f>1117</f>
        <v>1117</v>
      </c>
      <c r="I16" s="17">
        <f>SUM(C16:H16)</f>
        <v>51800</v>
      </c>
      <c r="J16" s="17">
        <v>261</v>
      </c>
      <c r="K16" s="29" t="str">
        <f t="shared" si="3"/>
        <v>198 : 1</v>
      </c>
    </row>
    <row r="17" spans="1:11" ht="21" x14ac:dyDescent="0.45">
      <c r="A17" s="33" t="s">
        <v>22</v>
      </c>
      <c r="B17" s="33"/>
      <c r="C17" s="17">
        <f t="shared" ref="C17:H17" si="4">SUM(C13:C16)</f>
        <v>58986</v>
      </c>
      <c r="D17" s="17">
        <f t="shared" si="4"/>
        <v>173628</v>
      </c>
      <c r="E17" s="17">
        <f t="shared" si="4"/>
        <v>98183</v>
      </c>
      <c r="F17" s="17">
        <f t="shared" si="4"/>
        <v>72988</v>
      </c>
      <c r="G17" s="17">
        <f t="shared" si="4"/>
        <v>17610</v>
      </c>
      <c r="H17" s="17">
        <f t="shared" si="4"/>
        <v>8994</v>
      </c>
      <c r="I17" s="17">
        <f>SUM(C17:H17)</f>
        <v>430389</v>
      </c>
      <c r="J17" s="17">
        <f>SUM(J13:J16)</f>
        <v>1775</v>
      </c>
      <c r="K17" s="29" t="str">
        <f t="shared" si="3"/>
        <v>242 : 1</v>
      </c>
    </row>
    <row r="18" spans="1:11" ht="21" x14ac:dyDescent="0.45">
      <c r="A18" s="33" t="s">
        <v>23</v>
      </c>
      <c r="B18" s="33"/>
      <c r="C18" s="17">
        <f>C17+C11</f>
        <v>132993</v>
      </c>
      <c r="D18" s="17">
        <f t="shared" ref="D18:I18" si="5">D17+D11</f>
        <v>398516</v>
      </c>
      <c r="E18" s="17">
        <f t="shared" si="5"/>
        <v>219474</v>
      </c>
      <c r="F18" s="17">
        <f t="shared" si="5"/>
        <v>162241</v>
      </c>
      <c r="G18" s="17">
        <f t="shared" si="5"/>
        <v>47708</v>
      </c>
      <c r="H18" s="17">
        <f t="shared" si="5"/>
        <v>23932</v>
      </c>
      <c r="I18" s="17">
        <f t="shared" si="5"/>
        <v>984864</v>
      </c>
      <c r="J18" s="17">
        <f>J17+J11</f>
        <v>3897</v>
      </c>
      <c r="K18" s="29" t="str">
        <f t="shared" si="3"/>
        <v>253 : 1</v>
      </c>
    </row>
  </sheetData>
  <mergeCells count="8">
    <mergeCell ref="A18:B18"/>
    <mergeCell ref="J3:J4"/>
    <mergeCell ref="A3:A4"/>
    <mergeCell ref="B3:B4"/>
    <mergeCell ref="C3:H3"/>
    <mergeCell ref="I3:I4"/>
    <mergeCell ref="A11:B11"/>
    <mergeCell ref="A17:B17"/>
  </mergeCells>
  <printOptions horizontalCentered="1"/>
  <pageMargins left="0.70866141732283472" right="0.70866141732283472" top="0.74803149606299213" bottom="0.74803149606299213" header="0.31496062992125984" footer="0.31496062992125984"/>
  <pageSetup paperSize="9" firstPageNumber="8" orientation="landscape" useFirstPageNumber="1" horizontalDpi="4294967293" verticalDpi="4294967293" r:id="rId1"/>
  <headerFooter>
    <oddHeader>&amp;C&amp;P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workbookViewId="0">
      <selection activeCell="C1" sqref="C1:H1048576"/>
    </sheetView>
  </sheetViews>
  <sheetFormatPr defaultRowHeight="14.25" x14ac:dyDescent="0.2"/>
  <cols>
    <col min="1" max="1" width="5.375" customWidth="1"/>
    <col min="2" max="2" width="18.75" customWidth="1"/>
    <col min="3" max="8" width="11" customWidth="1"/>
    <col min="9" max="9" width="10.125" customWidth="1"/>
  </cols>
  <sheetData>
    <row r="1" spans="1:11" ht="23.25" x14ac:dyDescent="0.5">
      <c r="A1" s="13" t="s">
        <v>51</v>
      </c>
      <c r="B1" s="1"/>
      <c r="C1" s="1"/>
      <c r="D1" s="1"/>
      <c r="E1" s="1"/>
      <c r="F1" s="1"/>
      <c r="G1" s="1"/>
      <c r="H1" s="1"/>
      <c r="I1" s="10"/>
    </row>
    <row r="2" spans="1:11" ht="21" x14ac:dyDescent="0.45">
      <c r="A2" s="3"/>
      <c r="B2" s="1"/>
      <c r="C2" s="1"/>
      <c r="D2" s="1"/>
      <c r="E2" s="1"/>
      <c r="F2" s="1"/>
      <c r="G2" s="1"/>
      <c r="H2" s="1"/>
      <c r="I2" s="10"/>
    </row>
    <row r="3" spans="1:11" ht="21" x14ac:dyDescent="0.45">
      <c r="A3" s="34" t="s">
        <v>0</v>
      </c>
      <c r="B3" s="34" t="s">
        <v>1</v>
      </c>
      <c r="C3" s="33" t="s">
        <v>31</v>
      </c>
      <c r="D3" s="33"/>
      <c r="E3" s="33"/>
      <c r="F3" s="33"/>
      <c r="G3" s="33"/>
      <c r="H3" s="33"/>
      <c r="I3" s="34" t="s">
        <v>20</v>
      </c>
      <c r="J3" s="40" t="s">
        <v>40</v>
      </c>
      <c r="K3" s="30" t="s">
        <v>33</v>
      </c>
    </row>
    <row r="4" spans="1:11" ht="21" x14ac:dyDescent="0.2">
      <c r="A4" s="34"/>
      <c r="B4" s="34"/>
      <c r="C4" s="21" t="s">
        <v>25</v>
      </c>
      <c r="D4" s="21" t="s">
        <v>26</v>
      </c>
      <c r="E4" s="21" t="s">
        <v>27</v>
      </c>
      <c r="F4" s="21" t="s">
        <v>28</v>
      </c>
      <c r="G4" s="21" t="s">
        <v>29</v>
      </c>
      <c r="H4" s="21" t="s">
        <v>30</v>
      </c>
      <c r="I4" s="34"/>
      <c r="J4" s="41"/>
      <c r="K4" s="28" t="s">
        <v>41</v>
      </c>
    </row>
    <row r="5" spans="1:11" ht="21" x14ac:dyDescent="0.45">
      <c r="A5" s="15"/>
      <c r="B5" s="15" t="s">
        <v>2</v>
      </c>
      <c r="C5" s="16"/>
      <c r="D5" s="16"/>
      <c r="E5" s="16"/>
      <c r="F5" s="16"/>
      <c r="G5" s="16"/>
      <c r="H5" s="16"/>
      <c r="I5" s="16"/>
      <c r="J5" s="18"/>
      <c r="K5" s="18"/>
    </row>
    <row r="6" spans="1:11" ht="21" x14ac:dyDescent="0.45">
      <c r="A6" s="6">
        <v>1</v>
      </c>
      <c r="B6" s="7" t="s">
        <v>3</v>
      </c>
      <c r="C6" s="8">
        <f>12122+3878+11</f>
        <v>16011</v>
      </c>
      <c r="D6" s="8">
        <f>40232+7106+69+201+430+876</f>
        <v>48914</v>
      </c>
      <c r="E6" s="8">
        <f>7572+9433+1658+26+407+352+2063</f>
        <v>21511</v>
      </c>
      <c r="F6" s="8">
        <f>7813+870+658+29+323+450+3333</f>
        <v>13476</v>
      </c>
      <c r="G6" s="8">
        <f>3825+232</f>
        <v>4057</v>
      </c>
      <c r="H6" s="8">
        <f>1191</f>
        <v>1191</v>
      </c>
      <c r="I6" s="19">
        <f t="shared" ref="I6:I11" si="0">SUM(C6:H6)</f>
        <v>105160</v>
      </c>
      <c r="J6" s="19">
        <v>4125</v>
      </c>
      <c r="K6" s="28" t="str">
        <f>TEXT(I6/J6,"0")&amp;" : 1"</f>
        <v>25 : 1</v>
      </c>
    </row>
    <row r="7" spans="1:11" ht="21" x14ac:dyDescent="0.45">
      <c r="A7" s="4">
        <v>2</v>
      </c>
      <c r="B7" s="5" t="s">
        <v>4</v>
      </c>
      <c r="C7" s="8">
        <f>12445+4630+8+300</f>
        <v>17383</v>
      </c>
      <c r="D7" s="8">
        <f>41875+10359+173+191+578</f>
        <v>53176</v>
      </c>
      <c r="E7" s="8">
        <f>13319+10078+2353+116+301+3582</f>
        <v>29749</v>
      </c>
      <c r="F7" s="8">
        <f>14366+246+939+123+271+6981</f>
        <v>22926</v>
      </c>
      <c r="G7" s="8">
        <f>6778+1349</f>
        <v>8127</v>
      </c>
      <c r="H7" s="8">
        <f>932+4408</f>
        <v>5340</v>
      </c>
      <c r="I7" s="17">
        <f t="shared" si="0"/>
        <v>136701</v>
      </c>
      <c r="J7" s="17">
        <v>5941</v>
      </c>
      <c r="K7" s="29" t="str">
        <f t="shared" ref="K7:K11" si="1">TEXT(I7/J7,"0")&amp;" : 1"</f>
        <v>23 : 1</v>
      </c>
    </row>
    <row r="8" spans="1:11" ht="21" x14ac:dyDescent="0.45">
      <c r="A8" s="4">
        <v>3</v>
      </c>
      <c r="B8" s="5" t="s">
        <v>5</v>
      </c>
      <c r="C8" s="8">
        <f>12510+10119+22+46</f>
        <v>22697</v>
      </c>
      <c r="D8" s="8">
        <f>45378+19660+115+276+757</f>
        <v>66186</v>
      </c>
      <c r="E8" s="8">
        <f>14448+10788+5256+97+303+5315</f>
        <v>36207</v>
      </c>
      <c r="F8" s="8">
        <f>15092+885+1613+67+133+8074</f>
        <v>25864</v>
      </c>
      <c r="G8" s="8">
        <f>4185+3141+44</f>
        <v>7370</v>
      </c>
      <c r="H8" s="8">
        <f>529+2227</f>
        <v>2756</v>
      </c>
      <c r="I8" s="17">
        <f t="shared" si="0"/>
        <v>161080</v>
      </c>
      <c r="J8" s="17">
        <v>7334</v>
      </c>
      <c r="K8" s="29" t="str">
        <f t="shared" si="1"/>
        <v>22 : 1</v>
      </c>
    </row>
    <row r="9" spans="1:11" ht="21" x14ac:dyDescent="0.45">
      <c r="A9" s="4">
        <v>4</v>
      </c>
      <c r="B9" s="5" t="s">
        <v>6</v>
      </c>
      <c r="C9" s="8">
        <f>8455+2117</f>
        <v>10572</v>
      </c>
      <c r="D9" s="8">
        <f>29912+2147+287</f>
        <v>32346</v>
      </c>
      <c r="E9" s="8">
        <f>11473+4211+136+2769</f>
        <v>18589</v>
      </c>
      <c r="F9" s="8">
        <f>10006+4700</f>
        <v>14706</v>
      </c>
      <c r="G9" s="8">
        <f>3846+121</f>
        <v>3967</v>
      </c>
      <c r="H9" s="8">
        <f>2311</f>
        <v>2311</v>
      </c>
      <c r="I9" s="17">
        <f t="shared" si="0"/>
        <v>82491</v>
      </c>
      <c r="J9" s="17">
        <v>4029</v>
      </c>
      <c r="K9" s="29" t="str">
        <f t="shared" si="1"/>
        <v>20 : 1</v>
      </c>
    </row>
    <row r="10" spans="1:11" ht="21" x14ac:dyDescent="0.45">
      <c r="A10" s="4">
        <v>5</v>
      </c>
      <c r="B10" s="5" t="s">
        <v>7</v>
      </c>
      <c r="C10" s="8">
        <f>5926+1418</f>
        <v>7344</v>
      </c>
      <c r="D10" s="8">
        <f>20157+3461+648</f>
        <v>24266</v>
      </c>
      <c r="E10" s="8">
        <f>8375+3562+828+78+2392</f>
        <v>15235</v>
      </c>
      <c r="F10" s="8">
        <f>7351+116+196+4618</f>
        <v>12281</v>
      </c>
      <c r="G10" s="8">
        <f>27+1430+5082+38</f>
        <v>6577</v>
      </c>
      <c r="H10" s="8">
        <f>700+2640</f>
        <v>3340</v>
      </c>
      <c r="I10" s="17">
        <f t="shared" si="0"/>
        <v>69043</v>
      </c>
      <c r="J10" s="17">
        <v>3377</v>
      </c>
      <c r="K10" s="29" t="str">
        <f t="shared" si="1"/>
        <v>20 : 1</v>
      </c>
    </row>
    <row r="11" spans="1:11" ht="21" x14ac:dyDescent="0.45">
      <c r="A11" s="33" t="s">
        <v>24</v>
      </c>
      <c r="B11" s="33"/>
      <c r="C11" s="17">
        <f t="shared" ref="C11:H11" si="2">SUM(C6:C10)</f>
        <v>74007</v>
      </c>
      <c r="D11" s="17">
        <f t="shared" si="2"/>
        <v>224888</v>
      </c>
      <c r="E11" s="17">
        <f t="shared" si="2"/>
        <v>121291</v>
      </c>
      <c r="F11" s="17">
        <f t="shared" si="2"/>
        <v>89253</v>
      </c>
      <c r="G11" s="17">
        <f t="shared" si="2"/>
        <v>30098</v>
      </c>
      <c r="H11" s="17">
        <f t="shared" si="2"/>
        <v>14938</v>
      </c>
      <c r="I11" s="17">
        <f t="shared" si="0"/>
        <v>554475</v>
      </c>
      <c r="J11" s="17">
        <f>SUM(J6:J10)</f>
        <v>24806</v>
      </c>
      <c r="K11" s="29" t="str">
        <f t="shared" si="1"/>
        <v>22 : 1</v>
      </c>
    </row>
    <row r="12" spans="1:11" ht="21" x14ac:dyDescent="0.45">
      <c r="A12" s="15"/>
      <c r="B12" s="15" t="s">
        <v>8</v>
      </c>
      <c r="C12" s="18"/>
      <c r="D12" s="18"/>
      <c r="E12" s="18"/>
      <c r="F12" s="18"/>
      <c r="G12" s="18"/>
      <c r="H12" s="18"/>
      <c r="I12" s="18"/>
      <c r="J12" s="18"/>
      <c r="K12" s="30"/>
    </row>
    <row r="13" spans="1:11" ht="21" x14ac:dyDescent="0.45">
      <c r="A13" s="6">
        <v>6</v>
      </c>
      <c r="B13" s="7" t="s">
        <v>9</v>
      </c>
      <c r="C13" s="8">
        <f>11388+7139+173</f>
        <v>18700</v>
      </c>
      <c r="D13" s="8">
        <f>38685+12337+846</f>
        <v>51868</v>
      </c>
      <c r="E13" s="8">
        <f>15341+6504+667+6459</f>
        <v>28971</v>
      </c>
      <c r="F13" s="8">
        <f>12883+9731</f>
        <v>22614</v>
      </c>
      <c r="G13" s="8">
        <f>157+359+3515+282</f>
        <v>4313</v>
      </c>
      <c r="H13" s="8">
        <f>177+2178</f>
        <v>2355</v>
      </c>
      <c r="I13" s="19">
        <f>SUM(C13:H13)</f>
        <v>128821</v>
      </c>
      <c r="J13" s="19">
        <v>5411</v>
      </c>
      <c r="K13" s="28" t="str">
        <f>TEXT(I13/J13,"0")&amp;" : 1"</f>
        <v>24 : 1</v>
      </c>
    </row>
    <row r="14" spans="1:11" ht="21" x14ac:dyDescent="0.45">
      <c r="A14" s="4">
        <v>7</v>
      </c>
      <c r="B14" s="5" t="s">
        <v>10</v>
      </c>
      <c r="C14" s="8">
        <f>13398+8954+20+242</f>
        <v>22614</v>
      </c>
      <c r="D14" s="8">
        <f>18912+45974+222+185+586</f>
        <v>65879</v>
      </c>
      <c r="E14" s="8">
        <f>20111+7621+5228+100+74+6170</f>
        <v>39304</v>
      </c>
      <c r="F14" s="8">
        <f>17020+58+2135+69+83+9950</f>
        <v>29315</v>
      </c>
      <c r="G14" s="8">
        <f>314+1055+6787</f>
        <v>8156</v>
      </c>
      <c r="H14" s="8">
        <f>372+3836</f>
        <v>4208</v>
      </c>
      <c r="I14" s="17">
        <f>SUM(C14:H14)</f>
        <v>169476</v>
      </c>
      <c r="J14" s="17">
        <v>7324</v>
      </c>
      <c r="K14" s="29" t="str">
        <f t="shared" ref="K14:K18" si="3">TEXT(I14/J14,"0")&amp;" : 1"</f>
        <v>23 : 1</v>
      </c>
    </row>
    <row r="15" spans="1:11" ht="21" x14ac:dyDescent="0.45">
      <c r="A15" s="4">
        <v>8</v>
      </c>
      <c r="B15" s="5" t="s">
        <v>11</v>
      </c>
      <c r="C15" s="8">
        <f>7009+3498+21</f>
        <v>10528</v>
      </c>
      <c r="D15" s="8">
        <f>24525+7672+197+653</f>
        <v>33047</v>
      </c>
      <c r="E15" s="8">
        <f>9997+4530+1290+93+2734</f>
        <v>18644</v>
      </c>
      <c r="F15" s="8">
        <f>8825+45+201+49+4733</f>
        <v>13853</v>
      </c>
      <c r="G15" s="8">
        <f>342+2478+86</f>
        <v>2906</v>
      </c>
      <c r="H15" s="8">
        <f>88+1226</f>
        <v>1314</v>
      </c>
      <c r="I15" s="17">
        <f>SUM(C15:H15)</f>
        <v>80292</v>
      </c>
      <c r="J15" s="17">
        <v>4019</v>
      </c>
      <c r="K15" s="29" t="str">
        <f t="shared" si="3"/>
        <v>20 : 1</v>
      </c>
    </row>
    <row r="16" spans="1:11" ht="21" x14ac:dyDescent="0.45">
      <c r="A16" s="4">
        <v>9</v>
      </c>
      <c r="B16" s="5" t="s">
        <v>12</v>
      </c>
      <c r="C16" s="8">
        <f>5892+1252</f>
        <v>7144</v>
      </c>
      <c r="D16" s="8">
        <f>20223+2441+170</f>
        <v>22834</v>
      </c>
      <c r="E16" s="8">
        <f>4690+3004+1366+2204</f>
        <v>11264</v>
      </c>
      <c r="F16" s="8">
        <f>3912+267+3027</f>
        <v>7206</v>
      </c>
      <c r="G16" s="8">
        <f>106+2081+48</f>
        <v>2235</v>
      </c>
      <c r="H16" s="8">
        <f>1117</f>
        <v>1117</v>
      </c>
      <c r="I16" s="17">
        <f>SUM(C16:H16)</f>
        <v>51800</v>
      </c>
      <c r="J16" s="17">
        <v>2571</v>
      </c>
      <c r="K16" s="29" t="str">
        <f t="shared" si="3"/>
        <v>20 : 1</v>
      </c>
    </row>
    <row r="17" spans="1:11" ht="21" x14ac:dyDescent="0.45">
      <c r="A17" s="33" t="s">
        <v>22</v>
      </c>
      <c r="B17" s="33"/>
      <c r="C17" s="17">
        <f t="shared" ref="C17:H17" si="4">SUM(C13:C16)</f>
        <v>58986</v>
      </c>
      <c r="D17" s="17">
        <f t="shared" si="4"/>
        <v>173628</v>
      </c>
      <c r="E17" s="17">
        <f t="shared" si="4"/>
        <v>98183</v>
      </c>
      <c r="F17" s="17">
        <f t="shared" si="4"/>
        <v>72988</v>
      </c>
      <c r="G17" s="17">
        <f t="shared" si="4"/>
        <v>17610</v>
      </c>
      <c r="H17" s="17">
        <f t="shared" si="4"/>
        <v>8994</v>
      </c>
      <c r="I17" s="17">
        <f>SUM(C17:H17)</f>
        <v>430389</v>
      </c>
      <c r="J17" s="17">
        <f>SUM(J13:J16)</f>
        <v>19325</v>
      </c>
      <c r="K17" s="29" t="str">
        <f t="shared" si="3"/>
        <v>22 : 1</v>
      </c>
    </row>
    <row r="18" spans="1:11" ht="21" x14ac:dyDescent="0.45">
      <c r="A18" s="33" t="s">
        <v>23</v>
      </c>
      <c r="B18" s="33"/>
      <c r="C18" s="17">
        <f>C17+C11</f>
        <v>132993</v>
      </c>
      <c r="D18" s="17">
        <f t="shared" ref="D18:I18" si="5">D17+D11</f>
        <v>398516</v>
      </c>
      <c r="E18" s="17">
        <f t="shared" si="5"/>
        <v>219474</v>
      </c>
      <c r="F18" s="17">
        <f t="shared" si="5"/>
        <v>162241</v>
      </c>
      <c r="G18" s="17">
        <f t="shared" si="5"/>
        <v>47708</v>
      </c>
      <c r="H18" s="17">
        <f t="shared" si="5"/>
        <v>23932</v>
      </c>
      <c r="I18" s="17">
        <f t="shared" si="5"/>
        <v>984864</v>
      </c>
      <c r="J18" s="17">
        <f>J17+J11</f>
        <v>44131</v>
      </c>
      <c r="K18" s="29" t="str">
        <f t="shared" si="3"/>
        <v>22 : 1</v>
      </c>
    </row>
  </sheetData>
  <mergeCells count="8">
    <mergeCell ref="I3:I4"/>
    <mergeCell ref="J3:J4"/>
    <mergeCell ref="A11:B11"/>
    <mergeCell ref="A17:B17"/>
    <mergeCell ref="A18:B18"/>
    <mergeCell ref="A3:A4"/>
    <mergeCell ref="B3:B4"/>
    <mergeCell ref="C3:H3"/>
  </mergeCells>
  <printOptions horizontalCentered="1"/>
  <pageMargins left="0.70866141732283472" right="0.70866141732283472" top="0.74803149606299213" bottom="0.74803149606299213" header="0.31496062992125984" footer="0.31496062992125984"/>
  <pageSetup paperSize="9" firstPageNumber="9" orientation="landscape" useFirstPageNumber="1" horizontalDpi="4294967293" verticalDpi="4294967293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10</vt:i4>
      </vt:variant>
    </vt:vector>
  </HeadingPairs>
  <TitlesOfParts>
    <vt:vector size="10" baseType="lpstr">
      <vt:lpstr>สถานศึกษา</vt:lpstr>
      <vt:lpstr>บุคลากร</vt:lpstr>
      <vt:lpstr>ห้องเรียน</vt:lpstr>
      <vt:lpstr>จำนวน นร.</vt:lpstr>
      <vt:lpstr>ครูต่อรร.</vt:lpstr>
      <vt:lpstr>หร ต่อ ครู</vt:lpstr>
      <vt:lpstr>หร ต่อ รร</vt:lpstr>
      <vt:lpstr>นร ต่อ รร</vt:lpstr>
      <vt:lpstr>นร ต่อ หร</vt:lpstr>
      <vt:lpstr>นร ต่อ ครู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2016-08-16T09:41:10Z</dcterms:modified>
</cp:coreProperties>
</file>